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385" tabRatio="932" firstSheet="2" activeTab="2"/>
  </bookViews>
  <sheets>
    <sheet name="Tables from Document" sheetId="1" r:id="rId1"/>
    <sheet name="Model Map" sheetId="2" r:id="rId2"/>
    <sheet name="Model explained" sheetId="3" r:id="rId3"/>
    <sheet name="Summary" sheetId="4" r:id="rId4"/>
    <sheet name="Cost Assignment" sheetId="5" r:id="rId5"/>
    <sheet name="CA Level" sheetId="6" r:id="rId6"/>
    <sheet name="UR-Summary PAD" sheetId="7" r:id="rId7"/>
    <sheet name="Actual Breakdown" sheetId="8" r:id="rId8"/>
    <sheet name="2. Transmission Line Deviations" sheetId="9" r:id="rId9"/>
    <sheet name="3.Enabling Wks - General Civil" sheetId="10" r:id="rId10"/>
    <sheet name="Checks" sheetId="11" r:id="rId11"/>
  </sheets>
  <externalReferences>
    <externalReference r:id="rId14"/>
    <externalReference r:id="rId15"/>
    <externalReference r:id="rId16"/>
    <externalReference r:id="rId17"/>
    <externalReference r:id="rId18"/>
    <externalReference r:id="rId19"/>
  </externalReferences>
  <definedNames>
    <definedName name="_1_NZD" localSheetId="2">#REF!</definedName>
    <definedName name="_1_NZD">#REF!</definedName>
    <definedName name="_KV11" localSheetId="8">'[1]Stations Coding'!$B$163:$B$218</definedName>
    <definedName name="_KV11" localSheetId="9">'[1]Stations Coding'!$B$163:$B$218</definedName>
    <definedName name="_KV11">'[2]Stations Coding'!$B$163:$B$218</definedName>
    <definedName name="_KV110" localSheetId="8">'[1]Stations Coding'!$B$350:$B$401</definedName>
    <definedName name="_KV110" localSheetId="9">'[1]Stations Coding'!$B$350:$B$401</definedName>
    <definedName name="_KV110">'[2]Stations Coding'!$B$350:$B$401</definedName>
    <definedName name="_KV220" localSheetId="8">'[1]Stations Coding'!$B$404:$B$449</definedName>
    <definedName name="_KV220" localSheetId="9">'[1]Stations Coding'!$B$404:$B$449</definedName>
    <definedName name="_KV220">'[2]Stations Coding'!$B$404:$B$449</definedName>
    <definedName name="_KV33" localSheetId="8">'[1]Stations Coding'!$B$221:$B$284</definedName>
    <definedName name="_KV33" localSheetId="9">'[1]Stations Coding'!$B$221:$B$284</definedName>
    <definedName name="_KV33">'[2]Stations Coding'!$B$221:$B$284</definedName>
    <definedName name="_KV66" localSheetId="8">'[1]Stations Coding'!$B$288:$B$347</definedName>
    <definedName name="_KV66" localSheetId="9">'[1]Stations Coding'!$B$288:$B$347</definedName>
    <definedName name="_KV66">'[2]Stations Coding'!$B$288:$B$347</definedName>
    <definedName name="_PST01" localSheetId="2">#REF!</definedName>
    <definedName name="_PST01">#REF!</definedName>
    <definedName name="_PST02" localSheetId="2">#REF!</definedName>
    <definedName name="_PST02">#REF!</definedName>
    <definedName name="_Ref334670193" localSheetId="0">'Tables from Document'!$B$70</definedName>
    <definedName name="_Ref334677019" localSheetId="0">'Tables from Document'!$B$97</definedName>
    <definedName name="_Ref334677058" localSheetId="0">'Tables from Document'!$B$105</definedName>
    <definedName name="_Ref334677066" localSheetId="0">'Tables from Document'!$B$113</definedName>
    <definedName name="_Ref334677099" localSheetId="0">'Tables from Document'!$B$121</definedName>
    <definedName name="_Ref334677120" localSheetId="0">'Tables from Document'!#REF!</definedName>
    <definedName name="_Ref334679881" localSheetId="0">'Tables from Document'!$K$2</definedName>
    <definedName name="_SC01" localSheetId="2">#REF!</definedName>
    <definedName name="_SC01">#REF!</definedName>
    <definedName name="_SC02" localSheetId="2">#REF!</definedName>
    <definedName name="_SC02">#REF!</definedName>
    <definedName name="Buildings" localSheetId="8">'[1]Stations Coding'!$B$119:$B$127</definedName>
    <definedName name="Buildings" localSheetId="9">'[1]Stations Coding'!$B$119:$B$127</definedName>
    <definedName name="Buildings">'[2]Stations Coding'!$B$119:$B$127</definedName>
    <definedName name="Civil" localSheetId="8">'[1]Stations Coding'!$B$130:$B$159</definedName>
    <definedName name="Civil" localSheetId="9">'[1]Stations Coding'!$B$130:$B$159</definedName>
    <definedName name="Civil">'[2]Stations Coding'!$B$130:$B$159</definedName>
    <definedName name="Comms" localSheetId="8">'[1]Stations Coding'!$B$53:$B$85</definedName>
    <definedName name="Comms" localSheetId="9">'[1]Stations Coding'!$B$53:$B$85</definedName>
    <definedName name="Comms">'[2]Stations Coding'!$B$53:$B$85</definedName>
    <definedName name="lines" localSheetId="8">#REF!</definedName>
    <definedName name="lines" localSheetId="9">#REF!</definedName>
    <definedName name="lines" localSheetId="2">#REF!</definedName>
    <definedName name="lines">#REF!</definedName>
    <definedName name="m">'[3]Sheet2'!$C$9</definedName>
    <definedName name="month">'[4]DO NOT DELETE'!$A$3</definedName>
    <definedName name="people" localSheetId="8">'[1]People'!$B$6:$B$96</definedName>
    <definedName name="people" localSheetId="9">'[1]People'!$B$6:$B$96</definedName>
    <definedName name="people">'[2]People'!$B$6:$B$96</definedName>
    <definedName name="_xlnm.Print_Area" localSheetId="8">'2. Transmission Line Deviations'!$A$1:$BH$70</definedName>
    <definedName name="_xlnm.Print_Area" localSheetId="9">'3.Enabling Wks - General Civil'!$A$1:$T$84</definedName>
    <definedName name="_xlnm.Print_Area" localSheetId="5">'CA Level'!$A$4:$D$96</definedName>
    <definedName name="_xlnm.Print_Area" localSheetId="4">'Cost Assignment'!$C$146:$N$146</definedName>
    <definedName name="_xlnm.Print_Area" localSheetId="2">'Model explained'!$A$1:$J$53</definedName>
    <definedName name="_xlnm.Print_Area" localSheetId="3">'Summary'!$A$1:$J$34</definedName>
    <definedName name="_xlnm.Print_Area" localSheetId="6">'UR-Summary PAD'!$A$6:$P$78</definedName>
    <definedName name="_xlnm.Print_Titles" localSheetId="8">'2. Transmission Line Deviations'!$1:$8</definedName>
    <definedName name="_xlnm.Print_Titles" localSheetId="9">'3.Enabling Wks - General Civil'!$1:$8</definedName>
    <definedName name="_xlnm.Print_Titles" localSheetId="5">'CA Level'!$4:$4</definedName>
    <definedName name="_xlnm.Print_Titles" localSheetId="4">'Cost Assignment'!$A:$L</definedName>
    <definedName name="_xlnm.Print_Titles" localSheetId="6">'UR-Summary PAD'!$T:$T</definedName>
    <definedName name="Prot" localSheetId="8">'[1]Stations Coding'!$B$5:$B$23</definedName>
    <definedName name="Prot" localSheetId="9">'[1]Stations Coding'!$B$5:$B$23</definedName>
    <definedName name="Prot">'[2]Stations Coding'!$B$5:$B$23</definedName>
    <definedName name="s1a">'[3]Sheet2'!$C$9</definedName>
    <definedName name="s1b">'[3]Sheet2'!$F$9</definedName>
    <definedName name="SCADA" localSheetId="8">'[1]Stations Coding'!$B$27:$B$49</definedName>
    <definedName name="SCADA" localSheetId="9">'[1]Stations Coding'!$B$27:$B$49</definedName>
    <definedName name="SCADA">'[2]Stations Coding'!$B$27:$B$49</definedName>
    <definedName name="Secondary" localSheetId="8">'[1]Stations Coding'!$B$89:$B$116</definedName>
    <definedName name="Secondary" localSheetId="9">'[1]Stations Coding'!$B$89:$B$116</definedName>
    <definedName name="Secondary">'[2]Stations Coding'!$B$89:$B$116</definedName>
    <definedName name="Sets" localSheetId="8">#REF!</definedName>
    <definedName name="Sets" localSheetId="9">#REF!</definedName>
    <definedName name="Sets" localSheetId="2">#REF!</definedName>
    <definedName name="Sets">#REF!</definedName>
    <definedName name="Sites" localSheetId="8">'[1]Sites'!$C$2:$C$186</definedName>
    <definedName name="Sites" localSheetId="9">'[1]Sites'!$C$2:$C$186</definedName>
    <definedName name="Sites">'[2]Sites'!$C$2:$C$186</definedName>
    <definedName name="STATCOM">'[5]SVC'!$A$1</definedName>
    <definedName name="Station" localSheetId="8">#REF!</definedName>
    <definedName name="Station" localSheetId="9">#REF!</definedName>
    <definedName name="Station" localSheetId="2">#REF!</definedName>
    <definedName name="Station">#REF!</definedName>
    <definedName name="stations" localSheetId="8">#REF!</definedName>
    <definedName name="stations" localSheetId="9">#REF!</definedName>
    <definedName name="stations" localSheetId="2">#REF!</definedName>
    <definedName name="stations">#REF!</definedName>
    <definedName name="structures" localSheetId="8">#REF!</definedName>
    <definedName name="structures" localSheetId="9">#REF!</definedName>
    <definedName name="structures" localSheetId="2">#REF!</definedName>
    <definedName name="structures">#REF!</definedName>
    <definedName name="Substation" localSheetId="8">'[6]Coding'!#REF!</definedName>
    <definedName name="Substation" localSheetId="9">'[6]Coding'!#REF!</definedName>
    <definedName name="Substation" localSheetId="2">'[6]Coding'!#REF!</definedName>
    <definedName name="Substation">'[6]Coding'!#REF!</definedName>
    <definedName name="SVC" localSheetId="2">#REF!</definedName>
    <definedName name="SVC">#REF!</definedName>
    <definedName name="swgr50" localSheetId="8">'[6]Coding'!#REF!</definedName>
    <definedName name="swgr50" localSheetId="9">'[6]Coding'!#REF!</definedName>
    <definedName name="swgr50" localSheetId="2">'[6]Coding'!#REF!</definedName>
    <definedName name="swgr50">'[6]Coding'!#REF!</definedName>
    <definedName name="TDEA100Y3" localSheetId="2">#REF!</definedName>
    <definedName name="TDEA100Y3">#REF!</definedName>
    <definedName name="TDEA200Y3" localSheetId="2">#REF!</definedName>
    <definedName name="TDEA200Y3">#REF!</definedName>
    <definedName name="TDEKA10060N1" localSheetId="2">#REF!</definedName>
    <definedName name="TDEKA10060N1">#REF!</definedName>
    <definedName name="TDEKA10060N3" localSheetId="2">#REF!</definedName>
    <definedName name="TDEKA10060N3">#REF!</definedName>
    <definedName name="TDEKA10060Y1" localSheetId="2">#REF!</definedName>
    <definedName name="TDEKA10060Y1">#REF!</definedName>
    <definedName name="TDEKA10060Y3" localSheetId="2">#REF!</definedName>
    <definedName name="TDEKA10060Y3">#REF!</definedName>
    <definedName name="TDEKA142142Y3" localSheetId="2">#REF!</definedName>
    <definedName name="TDEKA142142Y3">#REF!</definedName>
    <definedName name="TDEKA20060N1" localSheetId="2">#REF!</definedName>
    <definedName name="TDEKA20060N1">#REF!</definedName>
    <definedName name="TDEKA20060Y1" localSheetId="2">#REF!</definedName>
    <definedName name="TDEKA20060Y1">#REF!</definedName>
    <definedName name="TDEKA20060Y3" localSheetId="2">#REF!</definedName>
    <definedName name="TDEKA20060Y3">#REF!</definedName>
    <definedName name="TDEKA5030N1" localSheetId="2">#REF!</definedName>
    <definedName name="TDEKA5030N1">#REF!</definedName>
    <definedName name="TDEKA5030N3" localSheetId="2">#REF!</definedName>
    <definedName name="TDEKA5030N3">#REF!</definedName>
    <definedName name="TDEKA6060Y3" localSheetId="2">#REF!</definedName>
    <definedName name="TDEKA6060Y3">#REF!</definedName>
    <definedName name="TDFHYY7020Y3" localSheetId="2">#REF!</definedName>
    <definedName name="TDFHYY7020Y3">#REF!</definedName>
    <definedName name="TDFKYY10060N3" localSheetId="2">#REF!</definedName>
    <definedName name="TDFKYY10060N3">#REF!</definedName>
    <definedName name="TDFKYY10060Y1" localSheetId="2">#REF!</definedName>
    <definedName name="TDFKYY10060Y1">#REF!</definedName>
    <definedName name="TDFKYY20060Y1" localSheetId="2">#REF!</definedName>
    <definedName name="TDFKYY20060Y1">#REF!</definedName>
    <definedName name="TDFKYY20060Y3" localSheetId="2">#REF!</definedName>
    <definedName name="TDFKYY20060Y3">#REF!</definedName>
    <definedName name="TDFKYY5030N1" localSheetId="2">#REF!</definedName>
    <definedName name="TDFKYY5030N1">#REF!</definedName>
    <definedName name="TDFYND18Y1" localSheetId="2">#REF!</definedName>
    <definedName name="TDFYND18Y1">#REF!</definedName>
    <definedName name="TDHYND100N1" localSheetId="2">#REF!</definedName>
    <definedName name="TDHYND100N1">#REF!</definedName>
    <definedName name="TDHYND100N3" localSheetId="2">#REF!</definedName>
    <definedName name="TDHYND100N3">#REF!</definedName>
    <definedName name="TDHYND100Y1" localSheetId="2">#REF!</definedName>
    <definedName name="TDHYND100Y1">#REF!</definedName>
    <definedName name="TDHYND100Y3" localSheetId="2">#REF!</definedName>
    <definedName name="TDHYND100Y3">#REF!</definedName>
    <definedName name="TDHYND10Y3" localSheetId="2">#REF!</definedName>
    <definedName name="TDHYND10Y3">#REF!</definedName>
    <definedName name="TDHYND200Y1" localSheetId="2">#REF!</definedName>
    <definedName name="TDHYND200Y1">#REF!</definedName>
    <definedName name="TDHYND200Y3" localSheetId="2">#REF!</definedName>
    <definedName name="TDHYND200Y3">#REF!</definedName>
    <definedName name="TDHYND30Y1" localSheetId="2">#REF!</definedName>
    <definedName name="TDHYND30Y1">#REF!</definedName>
    <definedName name="TDHYND50N3" localSheetId="2">#REF!</definedName>
    <definedName name="TDHYND50N3">#REF!</definedName>
    <definedName name="TDHYND50Y3" localSheetId="2">#REF!</definedName>
    <definedName name="TDHYND50Y3">#REF!</definedName>
    <definedName name="TDHYND5N3" localSheetId="2">#REF!</definedName>
    <definedName name="TDHYND5N3">#REF!</definedName>
    <definedName name="TDJYND50Y1" localSheetId="2">#REF!</definedName>
    <definedName name="TDJYND50Y1">#REF!</definedName>
    <definedName name="TDJYND50Y3" localSheetId="2">#REF!</definedName>
    <definedName name="TDJYND50Y3">#REF!</definedName>
    <definedName name="TDKHYND20024060Y1" localSheetId="2">#REF!</definedName>
    <definedName name="TDKHYND20024060Y1">#REF!</definedName>
    <definedName name="TDKYND100Y3" localSheetId="2">#REF!</definedName>
    <definedName name="TDKYND100Y3">#REF!</definedName>
    <definedName name="TDKYND10Y3" localSheetId="2">#REF!</definedName>
    <definedName name="TDKYND10Y3">#REF!</definedName>
    <definedName name="TEFDYN60Y3" localSheetId="2">#REF!</definedName>
    <definedName name="TEFDYN60Y3">#REF!</definedName>
    <definedName name="TEFKA1510N1" localSheetId="2">#REF!</definedName>
    <definedName name="TEFKA1510N1">#REF!</definedName>
    <definedName name="TEFKA3030N1" localSheetId="2">#REF!</definedName>
    <definedName name="TEFKA3030N1">#REF!</definedName>
    <definedName name="TEGDYN10N1" localSheetId="2">#REF!</definedName>
    <definedName name="TEGDYN10N1">#REF!</definedName>
    <definedName name="TEGDYN10N3" localSheetId="2">#REF!</definedName>
    <definedName name="TEGDYN10N3">#REF!</definedName>
    <definedName name="TEGDYN30N3" localSheetId="2">#REF!</definedName>
    <definedName name="TEGDYN30N3">#REF!</definedName>
    <definedName name="TEGDYN30Y1" localSheetId="2">#REF!</definedName>
    <definedName name="TEGDYN30Y1">#REF!</definedName>
    <definedName name="TEHDYN100N1" localSheetId="2">#REF!</definedName>
    <definedName name="TEHDYN100N1">#REF!</definedName>
    <definedName name="TEHDYN100N3" localSheetId="2">#REF!</definedName>
    <definedName name="TEHDYN100N3">#REF!</definedName>
    <definedName name="TEHDYN100Y1" localSheetId="2">#REF!</definedName>
    <definedName name="TEHDYN100Y1">#REF!</definedName>
    <definedName name="TEHDYN10N1" localSheetId="2">#REF!</definedName>
    <definedName name="TEHDYN10N1">#REF!</definedName>
    <definedName name="TEHDYN120Y3" localSheetId="2">#REF!</definedName>
    <definedName name="TEHDYN120Y3">#REF!</definedName>
    <definedName name="TEHDYN15Y3" localSheetId="2">#REF!</definedName>
    <definedName name="TEHDYN15Y3">#REF!</definedName>
    <definedName name="TEHDYN20N3" localSheetId="2">#REF!</definedName>
    <definedName name="TEHDYN20N3">#REF!</definedName>
    <definedName name="TEHDYN30N1" localSheetId="2">#REF!</definedName>
    <definedName name="TEHDYN30N1">#REF!</definedName>
    <definedName name="TEHDYN30N3" localSheetId="2">#REF!</definedName>
    <definedName name="TEHDYN30N3">#REF!</definedName>
    <definedName name="TEHDYN30Y1" localSheetId="2">#REF!</definedName>
    <definedName name="TEHDYN30Y1">#REF!</definedName>
    <definedName name="TEHDYN30Y3" localSheetId="2">#REF!</definedName>
    <definedName name="TEHDYN30Y3">#REF!</definedName>
    <definedName name="TEHKDYN3010N1" localSheetId="2">#REF!</definedName>
    <definedName name="TEHKDYN3010N1">#REF!</definedName>
    <definedName name="TEHKDYN3010N3" localSheetId="2">#REF!</definedName>
    <definedName name="TEHKDYN3010N3">#REF!</definedName>
    <definedName name="TEJDYN30N1" localSheetId="2">#REF!</definedName>
    <definedName name="TEJDYN30N1">#REF!</definedName>
    <definedName name="TEJDYN30N3" localSheetId="2">#REF!</definedName>
    <definedName name="TEJDYN30N3">#REF!</definedName>
    <definedName name="TEJDYN30Y1" localSheetId="2">#REF!</definedName>
    <definedName name="TEJDYN30Y1">#REF!</definedName>
    <definedName name="TEJDYN30Y3" localSheetId="2">#REF!</definedName>
    <definedName name="TEJDYN30Y3">#REF!</definedName>
    <definedName name="TEJDYN50N1" localSheetId="2">#REF!</definedName>
    <definedName name="TEJDYN50N1">#REF!</definedName>
    <definedName name="TEJDYN50N3" localSheetId="2">#REF!</definedName>
    <definedName name="TEJDYN50N3">#REF!</definedName>
    <definedName name="TEJDYN50Y1" localSheetId="2">#REF!</definedName>
    <definedName name="TEJDYN50Y1">#REF!</definedName>
    <definedName name="TEJDYN50Y3" localSheetId="2">#REF!</definedName>
    <definedName name="TEJDYN50Y3">#REF!</definedName>
    <definedName name="TEKDYN10N1" localSheetId="2">#REF!</definedName>
    <definedName name="TEKDYN10N1">#REF!</definedName>
    <definedName name="TEKDYN10Y1" localSheetId="2">#REF!</definedName>
    <definedName name="TEKDYN10Y1">#REF!</definedName>
    <definedName name="TEKDYN1Y3" localSheetId="2">#REF!</definedName>
    <definedName name="TEKDYN1Y3">#REF!</definedName>
    <definedName name="TEKDYN20Y3" localSheetId="2">#REF!</definedName>
    <definedName name="TEKDYN20Y3">#REF!</definedName>
    <definedName name="TEKDYN2Y1" localSheetId="2">#REF!</definedName>
    <definedName name="TEKDYN2Y1">#REF!</definedName>
    <definedName name="TEKDYN30N1" localSheetId="2">#REF!</definedName>
    <definedName name="TEKDYN30N1">#REF!</definedName>
    <definedName name="TEKDYN30Y1" localSheetId="2">#REF!</definedName>
    <definedName name="TEKDYN30Y1">#REF!</definedName>
    <definedName name="TEKDYN4N1" localSheetId="2">#REF!</definedName>
    <definedName name="TEKDYN4N1">#REF!</definedName>
    <definedName name="TEKDYN4N3" localSheetId="2">#REF!</definedName>
    <definedName name="TEKDYN4N3">#REF!</definedName>
    <definedName name="TEKDYN60Y3" localSheetId="2">#REF!</definedName>
    <definedName name="TEKDYN60Y3">#REF!</definedName>
    <definedName name="TEKHYND5020Y3" localSheetId="2">#REF!</definedName>
    <definedName name="TEKHYND5020Y3">#REF!</definedName>
    <definedName name="TFHDYN20N1" localSheetId="2">#REF!</definedName>
    <definedName name="TFHDYN20N1">#REF!</definedName>
    <definedName name="TFHDYN20Y1" localSheetId="2">#REF!</definedName>
    <definedName name="TFHDYN20Y1">#REF!</definedName>
    <definedName name="TFHDYN5N1" localSheetId="2">#REF!</definedName>
    <definedName name="TFHDYN5N1">#REF!</definedName>
    <definedName name="TFHDYN5N3" localSheetId="2">#REF!</definedName>
    <definedName name="TFHDYN5N3">#REF!</definedName>
    <definedName name="TFHDYN5Y3" localSheetId="2">#REF!</definedName>
    <definedName name="TFHDYN5Y3">#REF!</definedName>
    <definedName name="TFHDYN60Y3" localSheetId="2">#REF!</definedName>
    <definedName name="TFHDYN60Y3">#REF!</definedName>
    <definedName name="TFHKA1575N1" localSheetId="2">#REF!</definedName>
    <definedName name="TFHKA1575N1">#REF!</definedName>
    <definedName name="TFKDYN10Y3" localSheetId="2">#REF!</definedName>
    <definedName name="TFKDYN10Y3">#REF!</definedName>
    <definedName name="TFKDYN1N3" localSheetId="2">#REF!</definedName>
    <definedName name="TFKDYN1N3">#REF!</definedName>
    <definedName name="TFKDYN30Y1" localSheetId="2">#REF!</definedName>
    <definedName name="TFKDYN30Y1">#REF!</definedName>
    <definedName name="TFKDYN3Y1" localSheetId="2">#REF!</definedName>
    <definedName name="TFKDYN3Y1">#REF!</definedName>
    <definedName name="TFKDYN45Y3" localSheetId="2">#REF!</definedName>
    <definedName name="TFKDYN45Y3">#REF!</definedName>
    <definedName name="TFKYYN5N3" localSheetId="2">#REF!</definedName>
    <definedName name="TFKYYN5N3">#REF!</definedName>
    <definedName name="TGHDYN7Y3" localSheetId="2">#REF!</definedName>
    <definedName name="TGHDYN7Y3">#REF!</definedName>
    <definedName name="TGHYYN5N3" localSheetId="2">#REF!</definedName>
    <definedName name="TGHYYN5N3">#REF!</definedName>
    <definedName name="TGKDYN15Y1" localSheetId="2">#REF!</definedName>
    <definedName name="TGKDYN15Y1">#REF!</definedName>
    <definedName name="TGKDYN2Y3" localSheetId="2">#REF!</definedName>
    <definedName name="TGKDYN2Y3">#REF!</definedName>
    <definedName name="TGKDYN3N1" localSheetId="2">#REF!</definedName>
    <definedName name="TGKDYN3N1">#REF!</definedName>
    <definedName name="TGKDYN5Y1" localSheetId="2">#REF!</definedName>
    <definedName name="TGKDYN5Y1">#REF!</definedName>
    <definedName name="TGKDYN7Y3" localSheetId="2">#REF!</definedName>
    <definedName name="TGKDYN7Y3">#REF!</definedName>
    <definedName name="THKDYN10N1" localSheetId="2">#REF!</definedName>
    <definedName name="THKDYN10N1">#REF!</definedName>
    <definedName name="THKDYN10N3" localSheetId="2">#REF!</definedName>
    <definedName name="THKDYN10N3">#REF!</definedName>
    <definedName name="THKDYN20Y3" localSheetId="2">#REF!</definedName>
    <definedName name="THKDYN20Y3">#REF!</definedName>
    <definedName name="THKDYN2N3" localSheetId="2">#REF!</definedName>
    <definedName name="THKDYN2N3">#REF!</definedName>
    <definedName name="THKDYN5Y3" localSheetId="2">#REF!</definedName>
    <definedName name="THKDYN5Y3">#REF!</definedName>
    <definedName name="TKKA4Y3" localSheetId="2">#REF!</definedName>
    <definedName name="TKKA4Y3">#REF!</definedName>
    <definedName name="Transformers" localSheetId="8">'[1]Stations Coding'!$B$458:$B$481</definedName>
    <definedName name="Transformers" localSheetId="9">'[1]Stations Coding'!$B$458:$B$481</definedName>
    <definedName name="Transformers">'[2]Stations Coding'!$B$458:$B$481</definedName>
    <definedName name="USD" localSheetId="2">#REF!</definedName>
    <definedName name="USD">#REF!</definedName>
    <definedName name="x" localSheetId="2">#REF!</definedName>
    <definedName name="x">#REF!</definedName>
  </definedNames>
  <calcPr fullCalcOnLoad="1"/>
</workbook>
</file>

<file path=xl/comments10.xml><?xml version="1.0" encoding="utf-8"?>
<comments xmlns="http://schemas.openxmlformats.org/spreadsheetml/2006/main">
  <authors>
    <author>John Heaney</author>
  </authors>
  <commentList>
    <comment ref="B1" authorId="0">
      <text>
        <r>
          <rPr>
            <b/>
            <sz val="8"/>
            <color indexed="10"/>
            <rFont val="Tahoma"/>
            <family val="2"/>
          </rPr>
          <t>Do not change as this comes from Summary Sheet</t>
        </r>
      </text>
    </comment>
  </commentList>
</comments>
</file>

<file path=xl/comments3.xml><?xml version="1.0" encoding="utf-8"?>
<comments xmlns="http://schemas.openxmlformats.org/spreadsheetml/2006/main">
  <authors>
    <author>oakdeng</author>
  </authors>
  <commentList>
    <comment ref="C33" authorId="0">
      <text>
        <r>
          <rPr>
            <b/>
            <sz val="8"/>
            <rFont val="Tahoma"/>
            <family val="2"/>
          </rPr>
          <t>oakdeng:</t>
        </r>
        <r>
          <rPr>
            <sz val="8"/>
            <rFont val="Tahoma"/>
            <family val="2"/>
          </rPr>
          <t xml:space="preserve">
Tower installation item plus contingency at 10%</t>
        </r>
      </text>
    </comment>
  </commentList>
</comments>
</file>

<file path=xl/comments4.xml><?xml version="1.0" encoding="utf-8"?>
<comments xmlns="http://schemas.openxmlformats.org/spreadsheetml/2006/main">
  <authors>
    <author>oakdeng</author>
  </authors>
  <commentList>
    <comment ref="C14" authorId="0">
      <text>
        <r>
          <rPr>
            <b/>
            <sz val="8"/>
            <rFont val="Tahoma"/>
            <family val="2"/>
          </rPr>
          <t>oakdeng:</t>
        </r>
        <r>
          <rPr>
            <sz val="8"/>
            <rFont val="Tahoma"/>
            <family val="2"/>
          </rPr>
          <t xml:space="preserve">
Tower installation item plus contingency at 10%</t>
        </r>
      </text>
    </comment>
  </commentList>
</comments>
</file>

<file path=xl/comments5.xml><?xml version="1.0" encoding="utf-8"?>
<comments xmlns="http://schemas.openxmlformats.org/spreadsheetml/2006/main">
  <authors>
    <author>oakdeng</author>
    <author>Kim Bannon</author>
    <author>Graeme Oakden</author>
  </authors>
  <commentList>
    <comment ref="L93" authorId="0">
      <text>
        <r>
          <rPr>
            <b/>
            <sz val="8"/>
            <rFont val="Tahoma"/>
            <family val="2"/>
          </rPr>
          <t>oakdeng:</t>
        </r>
        <r>
          <rPr>
            <sz val="8"/>
            <rFont val="Tahoma"/>
            <family val="2"/>
          </rPr>
          <t xml:space="preserve">
19% of $742k journalled from _05 and _06 should be against C rather than D</t>
        </r>
      </text>
    </comment>
    <comment ref="L89" authorId="0">
      <text>
        <r>
          <rPr>
            <b/>
            <sz val="8"/>
            <rFont val="Tahoma"/>
            <family val="2"/>
          </rPr>
          <t>oakdeng:</t>
        </r>
        <r>
          <rPr>
            <sz val="8"/>
            <rFont val="Tahoma"/>
            <family val="2"/>
          </rPr>
          <t xml:space="preserve">
51% of actual is against category C as adjusted</t>
        </r>
      </text>
    </comment>
    <comment ref="L76" authorId="0">
      <text>
        <r>
          <rPr>
            <b/>
            <sz val="8"/>
            <rFont val="Tahoma"/>
            <family val="2"/>
          </rPr>
          <t>oakdeng:</t>
        </r>
        <r>
          <rPr>
            <sz val="8"/>
            <rFont val="Tahoma"/>
            <family val="2"/>
          </rPr>
          <t xml:space="preserve">
51% of actual is against category C as adjusted</t>
        </r>
      </text>
    </comment>
    <comment ref="L75" authorId="0">
      <text>
        <r>
          <rPr>
            <b/>
            <sz val="8"/>
            <rFont val="Tahoma"/>
            <family val="2"/>
          </rPr>
          <t>oakdeng:</t>
        </r>
        <r>
          <rPr>
            <sz val="8"/>
            <rFont val="Tahoma"/>
            <family val="2"/>
          </rPr>
          <t xml:space="preserve">
19% of actual is against category C as adjusted</t>
        </r>
      </text>
    </comment>
    <comment ref="L74" authorId="0">
      <text>
        <r>
          <rPr>
            <b/>
            <sz val="8"/>
            <rFont val="Tahoma"/>
            <family val="2"/>
          </rPr>
          <t>oakdeng:</t>
        </r>
        <r>
          <rPr>
            <sz val="8"/>
            <rFont val="Tahoma"/>
            <family val="2"/>
          </rPr>
          <t xml:space="preserve">
19% of actual is against category C as adjusted</t>
        </r>
      </text>
    </comment>
    <comment ref="L73" authorId="0">
      <text>
        <r>
          <rPr>
            <b/>
            <sz val="8"/>
            <rFont val="Tahoma"/>
            <family val="2"/>
          </rPr>
          <t>oakdeng:</t>
        </r>
        <r>
          <rPr>
            <sz val="8"/>
            <rFont val="Tahoma"/>
            <family val="2"/>
          </rPr>
          <t xml:space="preserve">
19% of actual is against category C as adjusted</t>
        </r>
      </text>
    </comment>
    <comment ref="L72" authorId="0">
      <text>
        <r>
          <rPr>
            <b/>
            <sz val="8"/>
            <rFont val="Tahoma"/>
            <family val="2"/>
          </rPr>
          <t>oakdeng:</t>
        </r>
        <r>
          <rPr>
            <sz val="8"/>
            <rFont val="Tahoma"/>
            <family val="2"/>
          </rPr>
          <t xml:space="preserve">
19% of actual is against category C as adjusted</t>
        </r>
      </text>
    </comment>
    <comment ref="BK52" authorId="0">
      <text>
        <r>
          <rPr>
            <b/>
            <sz val="8"/>
            <rFont val="Tahoma"/>
            <family val="2"/>
          </rPr>
          <t>oakdeng:</t>
        </r>
        <r>
          <rPr>
            <sz val="8"/>
            <rFont val="Tahoma"/>
            <family val="2"/>
          </rPr>
          <t xml:space="preserve">
Includes 20_13 &amp; 14</t>
        </r>
      </text>
    </comment>
    <comment ref="AZ52" authorId="0">
      <text>
        <r>
          <rPr>
            <b/>
            <sz val="8"/>
            <rFont val="Tahoma"/>
            <family val="2"/>
          </rPr>
          <t>oakdeng:</t>
        </r>
        <r>
          <rPr>
            <sz val="8"/>
            <rFont val="Tahoma"/>
            <family val="2"/>
          </rPr>
          <t xml:space="preserve">
Includes 20_13 &amp; 14.
</t>
        </r>
      </text>
    </comment>
    <comment ref="AF21" authorId="0">
      <text>
        <r>
          <rPr>
            <b/>
            <sz val="8"/>
            <rFont val="Tahoma"/>
            <family val="2"/>
          </rPr>
          <t>oakdeng:</t>
        </r>
        <r>
          <rPr>
            <sz val="8"/>
            <rFont val="Tahoma"/>
            <family val="2"/>
          </rPr>
          <t xml:space="preserve">
Assessed based upon actual relative effort - more EW than DB</t>
        </r>
      </text>
    </comment>
    <comment ref="BE19" authorId="1">
      <text>
        <r>
          <rPr>
            <b/>
            <sz val="10"/>
            <rFont val="Tahoma"/>
            <family val="2"/>
          </rPr>
          <t>Sef Truyens:</t>
        </r>
        <r>
          <rPr>
            <sz val="10"/>
            <rFont val="Tahoma"/>
            <family val="2"/>
          </rPr>
          <t xml:space="preserve">
1200 is the easement cost</t>
        </r>
      </text>
    </comment>
    <comment ref="E39" authorId="1">
      <text>
        <r>
          <rPr>
            <b/>
            <sz val="10"/>
            <rFont val="Tahoma"/>
            <family val="2"/>
          </rPr>
          <t>Sef Truyens:</t>
        </r>
        <r>
          <rPr>
            <sz val="10"/>
            <rFont val="Tahoma"/>
            <family val="2"/>
          </rPr>
          <t xml:space="preserve">
WP 20_18 has been included
</t>
        </r>
      </text>
    </comment>
    <comment ref="E50" authorId="1">
      <text>
        <r>
          <rPr>
            <b/>
            <sz val="10"/>
            <rFont val="Tahoma"/>
            <family val="2"/>
          </rPr>
          <t>Kim Bannon:</t>
        </r>
        <r>
          <rPr>
            <sz val="10"/>
            <rFont val="Tahoma"/>
            <family val="2"/>
          </rPr>
          <t xml:space="preserve">
included in 20_05</t>
        </r>
      </text>
    </comment>
    <comment ref="E66" authorId="1">
      <text>
        <r>
          <rPr>
            <b/>
            <sz val="10"/>
            <rFont val="Tahoma"/>
            <family val="2"/>
          </rPr>
          <t xml:space="preserve">Graeme Oakden:
</t>
        </r>
        <r>
          <rPr>
            <sz val="10"/>
            <rFont val="Tahoma"/>
            <family val="2"/>
          </rPr>
          <t>includes the 30_04 Scada</t>
        </r>
      </text>
    </comment>
    <comment ref="F66" authorId="1">
      <text>
        <r>
          <rPr>
            <b/>
            <sz val="10"/>
            <rFont val="Tahoma"/>
            <family val="2"/>
          </rPr>
          <t xml:space="preserve">Graeme Oakden:
</t>
        </r>
        <r>
          <rPr>
            <sz val="10"/>
            <rFont val="Tahoma"/>
            <family val="2"/>
          </rPr>
          <t>Add $150k for SCADA consolidated with 30_06 (was 30_04). 9/09</t>
        </r>
        <r>
          <rPr>
            <sz val="10"/>
            <rFont val="Tahoma"/>
            <family val="2"/>
          </rPr>
          <t xml:space="preserve">
</t>
        </r>
      </text>
    </comment>
    <comment ref="F112" authorId="1">
      <text>
        <r>
          <rPr>
            <b/>
            <sz val="10"/>
            <rFont val="Tahoma"/>
            <family val="2"/>
          </rPr>
          <t>Graeme Oakden:</t>
        </r>
        <r>
          <rPr>
            <sz val="10"/>
            <rFont val="Tahoma"/>
            <family val="2"/>
          </rPr>
          <t xml:space="preserve">
</t>
        </r>
      </text>
    </comment>
    <comment ref="B95" authorId="2">
      <text>
        <r>
          <rPr>
            <b/>
            <sz val="8"/>
            <rFont val="Tahoma"/>
            <family val="2"/>
          </rPr>
          <t>Graeme Oakden:</t>
        </r>
        <r>
          <rPr>
            <sz val="8"/>
            <rFont val="Tahoma"/>
            <family val="2"/>
          </rPr>
          <t xml:space="preserve">
6/08 Revised WBS from price schedules to the 13 major milestones plus Test Set. Calculate Budget pro rata from contract price of total original PAD budget of $49.605M. Could do more accurately by mapping from PAD budget against MS categories.</t>
        </r>
      </text>
    </comment>
  </commentList>
</comments>
</file>

<file path=xl/comments8.xml><?xml version="1.0" encoding="utf-8"?>
<comments xmlns="http://schemas.openxmlformats.org/spreadsheetml/2006/main">
  <authors>
    <author>oakdeng</author>
  </authors>
  <commentList>
    <comment ref="H294" authorId="0">
      <text>
        <r>
          <rPr>
            <b/>
            <sz val="8"/>
            <rFont val="Tahoma"/>
            <family val="2"/>
          </rPr>
          <t>oakdeng:</t>
        </r>
        <r>
          <rPr>
            <sz val="8"/>
            <rFont val="Tahoma"/>
            <family val="2"/>
          </rPr>
          <t xml:space="preserve">
Includes Vector relocation in 40_30</t>
        </r>
      </text>
    </comment>
  </commentList>
</comments>
</file>

<file path=xl/comments9.xml><?xml version="1.0" encoding="utf-8"?>
<comments xmlns="http://schemas.openxmlformats.org/spreadsheetml/2006/main">
  <authors>
    <author>John Heaney</author>
  </authors>
  <commentList>
    <comment ref="B1" authorId="0">
      <text>
        <r>
          <rPr>
            <b/>
            <sz val="8"/>
            <color indexed="10"/>
            <rFont val="Tahoma"/>
            <family val="2"/>
          </rPr>
          <t>Do not change as this comes from Summary Sheet</t>
        </r>
      </text>
    </comment>
  </commentList>
</comments>
</file>

<file path=xl/sharedStrings.xml><?xml version="1.0" encoding="utf-8"?>
<sst xmlns="http://schemas.openxmlformats.org/spreadsheetml/2006/main" count="2212" uniqueCount="800">
  <si>
    <r>
      <t xml:space="preserve">Overspend Category/
</t>
    </r>
    <r>
      <rPr>
        <sz val="8"/>
        <rFont val="Arial"/>
        <family val="2"/>
      </rPr>
      <t>Adjustment to PAD Estimate</t>
    </r>
  </si>
  <si>
    <t>PAD Budget 2006 $</t>
  </si>
  <si>
    <t>Actual</t>
  </si>
  <si>
    <t>Overspend relative to PAD</t>
  </si>
  <si>
    <t>PAD Budget in Commissioning Year 2009 $</t>
  </si>
  <si>
    <t>Overspend relative to adjusted PAD</t>
  </si>
  <si>
    <t>A</t>
  </si>
  <si>
    <t>Enabling Works Civil General</t>
  </si>
  <si>
    <t>Stormwater Drainage</t>
  </si>
  <si>
    <t>Wastewater</t>
  </si>
  <si>
    <t>Underground Services Relocation</t>
  </si>
  <si>
    <t>Warehouse Building Relocation</t>
  </si>
  <si>
    <t>Earthworks and General</t>
  </si>
  <si>
    <t>B</t>
  </si>
  <si>
    <t>Transmission Line Deviations</t>
  </si>
  <si>
    <t>220 kV tower piled foundations</t>
  </si>
  <si>
    <t>Other work</t>
  </si>
  <si>
    <t>C</t>
  </si>
  <si>
    <t>Enabling Works Secondary Equipment Design &amp; Install</t>
  </si>
  <si>
    <t>D</t>
  </si>
  <si>
    <t>EW Transition Station &amp; Cable Termination Design &amp; Install</t>
  </si>
  <si>
    <t>Cable terminations</t>
  </si>
  <si>
    <t>Transition Stations</t>
  </si>
  <si>
    <t>AIS switchyard works</t>
  </si>
  <si>
    <t>E</t>
  </si>
  <si>
    <t>Enabling Works Procurement</t>
  </si>
  <si>
    <t>Protection equipment</t>
  </si>
  <si>
    <t>Other procurement</t>
  </si>
  <si>
    <t>F</t>
  </si>
  <si>
    <t>Design Build  GIS/AIS &amp; EHV Cable</t>
  </si>
  <si>
    <t>G</t>
  </si>
  <si>
    <t>Land Easement</t>
  </si>
  <si>
    <t>H</t>
  </si>
  <si>
    <t>Interest During Construction</t>
  </si>
  <si>
    <t>TOTAL</t>
  </si>
  <si>
    <t>PAD record:</t>
  </si>
  <si>
    <t>Prepared By:</t>
  </si>
  <si>
    <t>Transpower - John Heaney</t>
  </si>
  <si>
    <t>Checked / reviewed by:</t>
  </si>
  <si>
    <t>Transpower - Daniel Crawshay</t>
  </si>
  <si>
    <t>Date of Estimate:</t>
  </si>
  <si>
    <t>Estimate revision:</t>
  </si>
  <si>
    <t>Revision date:</t>
  </si>
  <si>
    <t>Pricebook Version:</t>
  </si>
  <si>
    <t>B08</t>
  </si>
  <si>
    <t>Pricebook Date:</t>
  </si>
  <si>
    <t>Jun 2006 CPI</t>
  </si>
  <si>
    <t>Jun 2009 CPI</t>
  </si>
  <si>
    <t>Zero Check</t>
  </si>
  <si>
    <t>Factor to incl design,&amp; TSL &amp; TP PM etc actual</t>
  </si>
  <si>
    <t>Factor to incl design,&amp; TSL &amp; TP PM etc final</t>
  </si>
  <si>
    <t>Category total - prorated by item below</t>
  </si>
  <si>
    <t>Excl $534 transferred to Cat C and 15% SWN-OTC excl amount journalled to 40_85</t>
  </si>
  <si>
    <t>AIS Switchyard Works</t>
  </si>
  <si>
    <t>S</t>
  </si>
  <si>
    <t>85% SWN-OTC excl amount journalled to 40_85</t>
  </si>
  <si>
    <t>T</t>
  </si>
  <si>
    <t xml:space="preserve">Incl $742k as initially journalled to 40_85 minus $379k transferred to Cat </t>
  </si>
  <si>
    <t>Cable Terminations</t>
  </si>
  <si>
    <t>Transfer Secondary systems contract costs from final D to C categories for amounts below and adjust for current forecast</t>
  </si>
  <si>
    <t>Breakdown by Item - Core EW Construction Only</t>
  </si>
  <si>
    <t>ID</t>
  </si>
  <si>
    <t>Share for 1 to many only</t>
  </si>
  <si>
    <t xml:space="preserve">For copying into Com Com application </t>
  </si>
  <si>
    <t>Share</t>
  </si>
  <si>
    <t>80_00</t>
  </si>
  <si>
    <t>50_90</t>
  </si>
  <si>
    <t>50_15</t>
  </si>
  <si>
    <t>50_14</t>
  </si>
  <si>
    <t>50_13</t>
  </si>
  <si>
    <t>50_12</t>
  </si>
  <si>
    <t>50_11</t>
  </si>
  <si>
    <t>50_10</t>
  </si>
  <si>
    <t>50_09</t>
  </si>
  <si>
    <t>50_08</t>
  </si>
  <si>
    <t>50_07</t>
  </si>
  <si>
    <t>50_06</t>
  </si>
  <si>
    <t>50_05</t>
  </si>
  <si>
    <t>50_04</t>
  </si>
  <si>
    <t>50_03</t>
  </si>
  <si>
    <t>50_02</t>
  </si>
  <si>
    <t>50_01</t>
  </si>
  <si>
    <t>40_90</t>
  </si>
  <si>
    <t>40_30</t>
  </si>
  <si>
    <t>40_29</t>
  </si>
  <si>
    <t>40_20</t>
  </si>
  <si>
    <t>40_19</t>
  </si>
  <si>
    <t>40_18</t>
  </si>
  <si>
    <t>40_17</t>
  </si>
  <si>
    <t>40_16</t>
  </si>
  <si>
    <t>40_15</t>
  </si>
  <si>
    <t>40_14</t>
  </si>
  <si>
    <t>40_13</t>
  </si>
  <si>
    <t>40_12</t>
  </si>
  <si>
    <t>40_11</t>
  </si>
  <si>
    <t>40_10</t>
  </si>
  <si>
    <t>40_09</t>
  </si>
  <si>
    <t>40_08</t>
  </si>
  <si>
    <t>40_07</t>
  </si>
  <si>
    <t>40_06</t>
  </si>
  <si>
    <t>40_05</t>
  </si>
  <si>
    <t>40_04</t>
  </si>
  <si>
    <t>40_03</t>
  </si>
  <si>
    <t>40_02</t>
  </si>
  <si>
    <t>40_01</t>
  </si>
  <si>
    <t>30_90</t>
  </si>
  <si>
    <t>30_07</t>
  </si>
  <si>
    <t>30_06</t>
  </si>
  <si>
    <t>30_05</t>
  </si>
  <si>
    <t>30_04</t>
  </si>
  <si>
    <t>30_03</t>
  </si>
  <si>
    <t>30_02</t>
  </si>
  <si>
    <t>30_01</t>
  </si>
  <si>
    <t>20_90</t>
  </si>
  <si>
    <t>20_30</t>
  </si>
  <si>
    <t>20_26</t>
  </si>
  <si>
    <t>20_25</t>
  </si>
  <si>
    <t>20_24</t>
  </si>
  <si>
    <t>20_23</t>
  </si>
  <si>
    <t>20_22</t>
  </si>
  <si>
    <t>20_21</t>
  </si>
  <si>
    <t>Cable Route Security</t>
  </si>
  <si>
    <t>20_20</t>
  </si>
  <si>
    <t>20_19</t>
  </si>
  <si>
    <t>Vector Cable Relocation</t>
  </si>
  <si>
    <t>20_18</t>
  </si>
  <si>
    <t>Roading</t>
  </si>
  <si>
    <t>20_17</t>
  </si>
  <si>
    <t>20_16</t>
  </si>
  <si>
    <t>20_15</t>
  </si>
  <si>
    <t>20_12</t>
  </si>
  <si>
    <t>20_11</t>
  </si>
  <si>
    <t>20_10</t>
  </si>
  <si>
    <t>20_09</t>
  </si>
  <si>
    <t>20_08</t>
  </si>
  <si>
    <t>20_07</t>
  </si>
  <si>
    <t>20_06</t>
  </si>
  <si>
    <t>20_05</t>
  </si>
  <si>
    <t>20_04</t>
  </si>
  <si>
    <t>20_03</t>
  </si>
  <si>
    <t>20_02</t>
  </si>
  <si>
    <t>20_01</t>
  </si>
  <si>
    <t>10_90</t>
  </si>
  <si>
    <t>10_70</t>
  </si>
  <si>
    <t>10_60</t>
  </si>
  <si>
    <t>10_50</t>
  </si>
  <si>
    <t>10_40</t>
  </si>
  <si>
    <t>10_30</t>
  </si>
  <si>
    <t>10_20</t>
  </si>
  <si>
    <t>10_10</t>
  </si>
  <si>
    <t>Cat</t>
  </si>
  <si>
    <t>Percent Change</t>
  </si>
  <si>
    <t>Variance</t>
  </si>
  <si>
    <t>Description</t>
  </si>
  <si>
    <t>WP</t>
  </si>
  <si>
    <t>Workstream</t>
  </si>
  <si>
    <t>Forecast as at October 2008 - Board Submission for Additioal Funding</t>
  </si>
  <si>
    <t>Forecast as at December 2007 - Enabling Works Contracts Awarded</t>
  </si>
  <si>
    <t>Percent complete based on actual to date + investigations divided by total actual minus land easement cost</t>
  </si>
  <si>
    <t>Total incl Land Easement and Investigations Project</t>
  </si>
  <si>
    <t>EW Procure &amp; DB Works Subtotal</t>
  </si>
  <si>
    <t>Enabling Works Design &amp; Install Subtotal</t>
  </si>
  <si>
    <t>Forecast 10/08</t>
  </si>
  <si>
    <t>Forecast 12/07</t>
  </si>
  <si>
    <t>Overspend Category</t>
  </si>
  <si>
    <t>Capitalised Interest</t>
  </si>
  <si>
    <t>Contingency</t>
  </si>
  <si>
    <t>Enabling Works Construction</t>
  </si>
  <si>
    <t>Procurement</t>
  </si>
  <si>
    <t>Enabling Works Design</t>
  </si>
  <si>
    <t>Environmental</t>
  </si>
  <si>
    <t>External Technical Support</t>
  </si>
  <si>
    <t>Transpower Technical Support</t>
  </si>
  <si>
    <t>Project Management</t>
  </si>
  <si>
    <t>Management/Support</t>
  </si>
  <si>
    <t>SWN &amp; OTA 'C' Cables &amp; Post Commissioning</t>
  </si>
  <si>
    <t>50_85</t>
  </si>
  <si>
    <t>Variations</t>
  </si>
  <si>
    <t>Cable Test Set</t>
  </si>
  <si>
    <t>MS13 Tests After Commissioning</t>
  </si>
  <si>
    <t>MS12 Contract Closeout</t>
  </si>
  <si>
    <t>MS11 Taking Over Certificate</t>
  </si>
  <si>
    <t>MS10 O&amp;M Manuals &amp; Training</t>
  </si>
  <si>
    <t>MS9 220 kV Cables Installation</t>
  </si>
  <si>
    <t>MS8 Substation Installation</t>
  </si>
  <si>
    <t>MS7 220 kV Cables &amp; Accessories</t>
  </si>
  <si>
    <t>MS6 GIS Substation Plant</t>
  </si>
  <si>
    <t>MS5 AIS Substation Plant</t>
  </si>
  <si>
    <t>MS4 Civil Works</t>
  </si>
  <si>
    <t>MS3 Factory Test Reports</t>
  </si>
  <si>
    <t>MS2 Plant &amp; Bldg Design &amp; Spec</t>
  </si>
  <si>
    <t>MS1 Contract Agreement</t>
  </si>
  <si>
    <t>GIS/AIS EHV Cable Design Build</t>
  </si>
  <si>
    <t>40_85</t>
  </si>
  <si>
    <t>Overall Site Fencing/Security</t>
  </si>
  <si>
    <t>40_31</t>
  </si>
  <si>
    <t>Vector Cable Relocation &amp; LS Supply</t>
  </si>
  <si>
    <t>Huntly Circuit 1 Relocation to Bay 502</t>
  </si>
  <si>
    <t>Water Supply</t>
  </si>
  <si>
    <t>AC  Supply</t>
  </si>
  <si>
    <t>SCADA Systems</t>
  </si>
  <si>
    <t>Protection Systems</t>
  </si>
  <si>
    <t>Communications/Protection Signalling</t>
  </si>
  <si>
    <t>General Civil Works</t>
  </si>
  <si>
    <t>Earthing Connections</t>
  </si>
  <si>
    <t>OTA 'C' Bus Tie Transition Station</t>
  </si>
  <si>
    <t>Ohinewai (WKM3) Circuit Transition Station</t>
  </si>
  <si>
    <t>Huntly Circuit 2 Transition Station</t>
  </si>
  <si>
    <t>Southdown Circuit Transition Station</t>
  </si>
  <si>
    <t>Henderson Circuit Transition Station</t>
  </si>
  <si>
    <t>220 kV Bus Sections 478 &amp; 488</t>
  </si>
  <si>
    <t>OTA 'C' Bus Tie Cable Termination</t>
  </si>
  <si>
    <t>Southdown Cable Termination</t>
  </si>
  <si>
    <t>Tie Line 5 Cable Termination</t>
  </si>
  <si>
    <t>220 kV Bay Tie Line 4</t>
  </si>
  <si>
    <t>OTA - PEN C Deviation</t>
  </si>
  <si>
    <t>110 kV Tie Line Deviation</t>
  </si>
  <si>
    <t>30_85</t>
  </si>
  <si>
    <t>Line Materials</t>
  </si>
  <si>
    <t>Communications</t>
  </si>
  <si>
    <t>Secondary Equipment</t>
  </si>
  <si>
    <t>Protection</t>
  </si>
  <si>
    <t>Primary Equipment</t>
  </si>
  <si>
    <t>Miscellaneous</t>
  </si>
  <si>
    <t>20_85</t>
  </si>
  <si>
    <t>Tie Line and Line Protection</t>
  </si>
  <si>
    <t>Prot Settings Low Impedance BZ Existing AIS</t>
  </si>
  <si>
    <t>Prot Settings GIS</t>
  </si>
  <si>
    <t>Prot Settings Existing AIS</t>
  </si>
  <si>
    <t>Prot Settings Existing BZ</t>
  </si>
  <si>
    <t>Low Impedance BZ Prot Existing 220 kV AIS</t>
  </si>
  <si>
    <t>Miscellaneous Site Works</t>
  </si>
  <si>
    <t>Sewerage Connection</t>
  </si>
  <si>
    <t>Earthgrid Connections</t>
  </si>
  <si>
    <t>Local Service Power Supplies</t>
  </si>
  <si>
    <t>SCADA</t>
  </si>
  <si>
    <t>Cable Transition Stations</t>
  </si>
  <si>
    <t>220 kV Protection System</t>
  </si>
  <si>
    <t>220 kV Bus Zone Protection Modifications</t>
  </si>
  <si>
    <t>220 kV Switchyard Extensions</t>
  </si>
  <si>
    <t>Site Platform Formation and Stormwater Relocation</t>
  </si>
  <si>
    <t>Manhole and Contact Sewer Relocation</t>
  </si>
  <si>
    <t>Warehouse Relocation/Alteration</t>
  </si>
  <si>
    <t>10_85</t>
  </si>
  <si>
    <t>Site Village &amp; Security/Safety Services</t>
  </si>
  <si>
    <t>10_80</t>
  </si>
  <si>
    <t>OTA Warehouse Changes</t>
  </si>
  <si>
    <t>Switching &amp; RTU/SCADA</t>
  </si>
  <si>
    <t>Property</t>
  </si>
  <si>
    <t>OTA Diversity (CP_OTA_01)</t>
  </si>
  <si>
    <t>01</t>
  </si>
  <si>
    <t>Investigations Projects</t>
  </si>
  <si>
    <t>CO</t>
  </si>
  <si>
    <t>CA</t>
  </si>
  <si>
    <t>Workstream / Work Package Description</t>
  </si>
  <si>
    <t>PAD Budget ($,000)</t>
  </si>
  <si>
    <t>10_00</t>
  </si>
  <si>
    <t>RMA</t>
  </si>
  <si>
    <t xml:space="preserve">10_50 </t>
  </si>
  <si>
    <t>Switching</t>
  </si>
  <si>
    <t>Conitingency</t>
  </si>
  <si>
    <t>Subtotal</t>
  </si>
  <si>
    <t>20_00</t>
  </si>
  <si>
    <t>20_13</t>
  </si>
  <si>
    <t>Security System</t>
  </si>
  <si>
    <t>20_14</t>
  </si>
  <si>
    <t>Station Lighting</t>
  </si>
  <si>
    <t>30_00</t>
  </si>
  <si>
    <t>Lines Materials</t>
  </si>
  <si>
    <t>40_00</t>
  </si>
  <si>
    <t>50_00</t>
  </si>
  <si>
    <t>Documentation &amp; Training</t>
  </si>
  <si>
    <t>Spares</t>
  </si>
  <si>
    <t>Special Tools and Maintenance Equipment</t>
  </si>
  <si>
    <t>Temporary Works</t>
  </si>
  <si>
    <t>Substation Primary Plant Supply</t>
  </si>
  <si>
    <t>Substation Secondary Plant Supply</t>
  </si>
  <si>
    <t>Substation Site Works and Building</t>
  </si>
  <si>
    <t>Substation Plant Installlation and Testing</t>
  </si>
  <si>
    <t>Cable Manufacture, Test and Delivery</t>
  </si>
  <si>
    <t>Cable Installation and Commisioning</t>
  </si>
  <si>
    <t>Otahuhu 220 kV diversity</t>
  </si>
  <si>
    <t>Totals
$000's</t>
  </si>
  <si>
    <t>220kV Cable</t>
  </si>
  <si>
    <t xml:space="preserve"> 220 kV GIS and AIS Switchyard</t>
  </si>
  <si>
    <t xml:space="preserve"> 220 kV AIS Switchyard (Enabling Works)</t>
  </si>
  <si>
    <t>Enabling Works -  110 kV Tie Line 1 and 2</t>
  </si>
  <si>
    <t>Enabling Works OTA - PEN C</t>
  </si>
  <si>
    <t>General Civil works (Enabling Works)</t>
  </si>
  <si>
    <t>OTA -  Henderson  220 kV Transition Station</t>
  </si>
  <si>
    <t>OTA -  C - Transition Station</t>
  </si>
  <si>
    <t>OTA -  Southdown  220 kV Transition Station</t>
  </si>
  <si>
    <t>OTA -  Ohinewai  220 kV Transition Station</t>
  </si>
  <si>
    <t>OTA -  Huntly  220 kV Transition Station</t>
  </si>
  <si>
    <t>Work Package (CA) ID and Name</t>
  </si>
  <si>
    <t>Total</t>
  </si>
  <si>
    <t>0. 220 kV Cable</t>
  </si>
  <si>
    <t>Buildings</t>
  </si>
  <si>
    <t>1. Enabling Works 110 kV Tie Lines</t>
  </si>
  <si>
    <t>Civil Works (Bulk excavation, earth grid, fences, roads etc)</t>
  </si>
  <si>
    <t>2. Enabling Wks OTA-PEN C</t>
  </si>
  <si>
    <t>3. Enabling Works - General Civil</t>
  </si>
  <si>
    <t>220 kV Cables</t>
  </si>
  <si>
    <t>4. Henderson Transition</t>
  </si>
  <si>
    <t>5. Southdown Transition</t>
  </si>
  <si>
    <t>6. Huntly Transition</t>
  </si>
  <si>
    <t>7. Ohinewai Transition</t>
  </si>
  <si>
    <t>8. OTA C Transition</t>
  </si>
  <si>
    <t>Land</t>
  </si>
  <si>
    <t>9. Stations AIS EW</t>
  </si>
  <si>
    <t>Switching Costs</t>
  </si>
  <si>
    <t>10. Stations GIS</t>
  </si>
  <si>
    <t>Sub Total</t>
  </si>
  <si>
    <t xml:space="preserve">Interest during construction </t>
  </si>
  <si>
    <t xml:space="preserve">Contingency </t>
  </si>
  <si>
    <t>Total Estimated Cost</t>
  </si>
  <si>
    <t>GIS/AIS EHV Cable Design Build (new WBS)</t>
  </si>
  <si>
    <t>$,000</t>
  </si>
  <si>
    <t>Overspend Category/Subcategory</t>
  </si>
  <si>
    <t>S - Stormwater Drainage</t>
  </si>
  <si>
    <t>W- Wastewater</t>
  </si>
  <si>
    <t>U - Underground Services Relocation</t>
  </si>
  <si>
    <t>W - Warehouse Building Relocation</t>
  </si>
  <si>
    <t>E- Earthworks and General</t>
  </si>
  <si>
    <t>F - 220 kV Tower Piled Foundations and Install</t>
  </si>
  <si>
    <t>O - Line Deviation Other</t>
  </si>
  <si>
    <t>P - Protection Equipment</t>
  </si>
  <si>
    <t>O - Other Procurement</t>
  </si>
  <si>
    <t>Summary</t>
  </si>
  <si>
    <t>values entered by the user</t>
  </si>
  <si>
    <t>System populated - please don't alter unless adding in non standard items</t>
  </si>
  <si>
    <t>Drop down pick list</t>
  </si>
  <si>
    <t>Pricebook Date</t>
  </si>
  <si>
    <t>Site / Region</t>
  </si>
  <si>
    <t>ota</t>
  </si>
  <si>
    <t>Design</t>
  </si>
  <si>
    <t>Locality Factor  labour</t>
  </si>
  <si>
    <t>Building layouts and design</t>
  </si>
  <si>
    <t xml:space="preserve"> Switching costs - operator costs</t>
  </si>
  <si>
    <t>Transmission design</t>
  </si>
  <si>
    <t>Civil, structural design</t>
  </si>
  <si>
    <t>Primary Equipment layout &amp; design</t>
  </si>
  <si>
    <t>Transformer Design / Selection</t>
  </si>
  <si>
    <t>Protection design and settings</t>
  </si>
  <si>
    <t>SCADA Design and Management</t>
  </si>
  <si>
    <t>Secondary Equipment layouts &amp; design</t>
  </si>
  <si>
    <t>Communications design</t>
  </si>
  <si>
    <t>Management</t>
  </si>
  <si>
    <t xml:space="preserve">  Transpower</t>
  </si>
  <si>
    <t>Transpower  Management</t>
  </si>
  <si>
    <t>Project Support group costs (Procurement/Inventory, Warehousing, Contract Support)</t>
  </si>
  <si>
    <t>Transformers (Project Support Group, Procurement &amp; Factory Inspects)</t>
  </si>
  <si>
    <t>Transformers (TP PM)</t>
  </si>
  <si>
    <t xml:space="preserve"> Consultants</t>
  </si>
  <si>
    <t>Engineer to Contract (including ETC representative)</t>
  </si>
  <si>
    <t>Project Doucmentation (Design consultants)</t>
  </si>
  <si>
    <t>Transformers (ETC,  Factory Inspects)</t>
  </si>
  <si>
    <t>Contractor Overheads</t>
  </si>
  <si>
    <t>Contractors Project Management</t>
  </si>
  <si>
    <t>Site Establishment /Disestablishment</t>
  </si>
  <si>
    <t>Station Operating Information</t>
  </si>
  <si>
    <t>Project Setup / Design /site meetings</t>
  </si>
  <si>
    <t>Contractor Travel / accommodation</t>
  </si>
  <si>
    <t>Insurances</t>
  </si>
  <si>
    <t>All Costs are in NZ$ and exclude GST</t>
  </si>
  <si>
    <t>Code</t>
  </si>
  <si>
    <t xml:space="preserve">Qty </t>
  </si>
  <si>
    <t>UOM</t>
  </si>
  <si>
    <t xml:space="preserve">Material </t>
  </si>
  <si>
    <t xml:space="preserve">Install </t>
  </si>
  <si>
    <t>Material totals
(1a)</t>
  </si>
  <si>
    <t>Install Subtotals
(1b)</t>
  </si>
  <si>
    <t>Sub Total $000's
(1 )</t>
  </si>
  <si>
    <t>Design
$000's
 (2)</t>
  </si>
  <si>
    <t>Management $000's
(3)</t>
  </si>
  <si>
    <t>Project Support Costs
(3a)</t>
  </si>
  <si>
    <t>Contractor Overheads
(4)</t>
  </si>
  <si>
    <t>Site Factor 
$000's
(5)</t>
  </si>
  <si>
    <t>Sub Total
(1A+2+3+3a+4+5)
$000's</t>
  </si>
  <si>
    <t>Manual Adjustments 
%</t>
  </si>
  <si>
    <t>Total
$000's</t>
  </si>
  <si>
    <t>Line materials</t>
  </si>
  <si>
    <t>OTA-PEN C Deviation</t>
  </si>
  <si>
    <t>Remove existing 220 kV tower</t>
  </si>
  <si>
    <t>Sum</t>
  </si>
  <si>
    <t>New 220 kV Towers</t>
  </si>
  <si>
    <t>Deviate Transmission line OTA-PEN 5&amp; 6 ccts</t>
  </si>
  <si>
    <t>Modify and strengthen other towers as required</t>
  </si>
  <si>
    <t>item</t>
  </si>
  <si>
    <t>Civil Works (Bulk excavation, fences, roads etc)</t>
  </si>
  <si>
    <t>Strip top soil from site average 300mm thick, stock pile for future use or disposal off site</t>
  </si>
  <si>
    <t xml:space="preserve">     220 kV </t>
  </si>
  <si>
    <t>No</t>
  </si>
  <si>
    <t>Modification to existing OTA-PEN C line protection schemes as required</t>
  </si>
  <si>
    <t>days</t>
  </si>
  <si>
    <t>Sub Total  ($000's)</t>
  </si>
  <si>
    <t>Interest during construction</t>
  </si>
  <si>
    <t>Total Estimated Cost  ($000's)</t>
  </si>
  <si>
    <t>Form new 15 m wide "lean to" to perimeter of Benmore shed</t>
  </si>
  <si>
    <t>Remove existing office/ emergency accommodation including foundations and services</t>
  </si>
  <si>
    <t>Remove the large steel framed warehouse including breaking out foundations and services</t>
  </si>
  <si>
    <t>Remove the three existing Nissan sheds including breaking out foundations and services</t>
  </si>
  <si>
    <t>Modify Transfield carparking and fence line</t>
  </si>
  <si>
    <t>Other Warehouse Relocation Costs</t>
  </si>
  <si>
    <t>Bulk earthworks (Bulk excavation down to formation level -average 1.0m deep, fill up to base level 500mm of fill, but excludes final switchyard metalling)</t>
  </si>
  <si>
    <t>Roads (based on 5m wide x 0.3m thick basecourse, asphalt surface, concrete kerb and channel</t>
  </si>
  <si>
    <t>Modify existing stormwater services connect Contact Sewer into Manhole at Sparky's Rd</t>
  </si>
  <si>
    <t>New Manhole to sewer system at Sparkys Road</t>
  </si>
  <si>
    <t>New Manhole to sewer system at Hellaby's Road</t>
  </si>
  <si>
    <t>Modify existingwater services if required</t>
  </si>
  <si>
    <t>Modify existing other servcies and fences as required</t>
  </si>
  <si>
    <t>Total Excl IDC</t>
  </si>
  <si>
    <t>Overspend Category Item Split</t>
  </si>
  <si>
    <t>A - S Stormwater</t>
  </si>
  <si>
    <t>A - W Wastewater</t>
  </si>
  <si>
    <t>A - U Underground Services</t>
  </si>
  <si>
    <t>A - B Building</t>
  </si>
  <si>
    <t>A - E Earthworks</t>
  </si>
  <si>
    <t>C - Cable Terminations</t>
  </si>
  <si>
    <t>T - Transition Stations</t>
  </si>
  <si>
    <t>S - AIS Switchyard Works</t>
  </si>
  <si>
    <t>Low</t>
  </si>
  <si>
    <t>Otahuhu</t>
  </si>
  <si>
    <t>NNI</t>
  </si>
  <si>
    <t>Man hour</t>
  </si>
  <si>
    <t xml:space="preserve">Plant/ </t>
  </si>
  <si>
    <t>Agreed Values SR/ Var</t>
  </si>
  <si>
    <t>Total new price= (old + change) $</t>
  </si>
  <si>
    <t>O</t>
  </si>
  <si>
    <t>110kV Tie Lines 1 &amp; 2 Deviation</t>
  </si>
  <si>
    <t>Re-route, terminate OTA B tie line 2 at 110kV bay 72 (existing postion tie line 1)</t>
  </si>
  <si>
    <t>Modify and strengthen tie line 1 tower T1 for double circuit</t>
  </si>
  <si>
    <t>Relocate and teminate tie line 1 into adjacent spare bay 62.</t>
  </si>
  <si>
    <t>Remove three off existing tie line 2 towers, and lines</t>
  </si>
  <si>
    <t>Remove top 1200mm of existing tie line 2 terminal tower foundation</t>
  </si>
  <si>
    <t xml:space="preserve">Install new 110kV circuit breaker CB62 </t>
  </si>
  <si>
    <t>Install  new 110kV 110kV CT62</t>
  </si>
  <si>
    <t>Install line disconnector in bay 62.</t>
  </si>
  <si>
    <t>Install two bus disconnectors in bay 62.</t>
  </si>
  <si>
    <t>Install foundation for new CB2</t>
  </si>
  <si>
    <t>Install foundation for CT62</t>
  </si>
  <si>
    <t>Install line disconnector foundation</t>
  </si>
  <si>
    <t>Install bus disconnector foundations</t>
  </si>
  <si>
    <t>Supply and install foundation &amp; other civil work for Bus Posts</t>
  </si>
  <si>
    <t>Supply and install CT Stands</t>
  </si>
  <si>
    <t>Modify Tie line 1 &amp; 2 protection systems and settings</t>
  </si>
  <si>
    <t>Modify SCADA/RTU systems and settings</t>
  </si>
  <si>
    <t>Install secondary cabling from ODJBs to control/relay room</t>
  </si>
  <si>
    <t>Install equipment earth connections</t>
  </si>
  <si>
    <t>Test and commission</t>
  </si>
  <si>
    <t>Decommission and remove Bay 222 equipment, droppers, and line termination</t>
  </si>
  <si>
    <t>Contractor to Specify (Relable Line)</t>
  </si>
  <si>
    <t>110kV Bus Zone</t>
  </si>
  <si>
    <t>Our price did not include the cost to supply &amp; install any bus support posts.  No price schedule item for these. Cost is for supply and installation of 3 only 110kV bus support posts.</t>
  </si>
  <si>
    <t>Exspose power cable running across new VT pads (cap with 100mm PVC conduit and warp in denso tape). Please refer to CQ25.</t>
  </si>
  <si>
    <t>Bay 60 (General Notes) - Need to provide copy to Tunnel &amp; Civil but should not have an effect on the price. Cost for impact from this drawing is included with the foundation scope refinement pricing 2.1.10 except for the soil bearing strength tests. This price submitted is for all of bay 62 testing. Further soil testing will be included in scope refinements of individual foundations going forward.</t>
  </si>
  <si>
    <t>Bay 60 Earthmat - varaition to the contract (includes excavations, supply and installation of twin 50x4mm CU, jointing, QA and 'As builts').</t>
  </si>
  <si>
    <t xml:space="preserve">Lost time due to incorrect leg supplied with Line DIS (Work conducted on Saturday 16 Febuary). Time includes recrating and returning disconnectors to Transpower stores whilst picking up the new ones - CQ37. Also included is the time spent in correcting the locking hooks on all three phases - CQ41.  </t>
  </si>
  <si>
    <t>Supply of the IDB/K (DIS-ES 66-69) steelwork &amp; stands. Disconnectors to be supplied by Transpower. Supplied without stands.</t>
  </si>
  <si>
    <t>Cleaning up of TP supplied equipment (water blasting IDB/K 3's and 5's Disconnectors).</t>
  </si>
  <si>
    <t>Bay 60 (3's &amp; 5's DIS pads) - Foundation is smaller than priced.  Scope refinement was - Foundation decreased by: Area 7m2, Concrete Volume 3.15m3, Reinforcing 192kg, Ducts 2x 100mm.  Operator Mat increased by: Area 0.75m2, Depth 70mm. Now - Foundation increased by: Area 2.94m2, Concrete Volume 1.32m3, Reinforcing 317kg (due to rev 2 steel already being ordered), Ducts  1 x 100mm.  Operator Mat decreased by: Area 0.75m2, Depth is the same.</t>
  </si>
  <si>
    <t xml:space="preserve">There was no pricing under item 2.1.17 for modifying the SCADA/RTU systems and settings for the Tie Lines 1 &amp; 2 relocation so a variation for this work has arisen as a result of updating the OTA RTU and modifying some SCADA wiring. Variation includes SCADA wiring and config download and testing - OTA RTU (TX42316/8 Re-designed and 'as built'). </t>
  </si>
  <si>
    <t xml:space="preserve">Technician and management time associated with the additional changes to the SPO and Commissioning Plans as a result of the cancelled outages (8/3 - 16/3/08). Price includes coordination with Transpower and TSL release coordinator. </t>
  </si>
  <si>
    <t>Expose power cables running across the newly positioned DIS65 in bay 50. Cap with 100mm PVC conduit and denso tape. Photo taken</t>
  </si>
  <si>
    <t xml:space="preserve">Locate earth grid cables between the 110kV OTA and GT switchyards (excavation and reinstatement. This variation includes the time spent investigating the completeness of the existing earthgrid and testing to ascertain connectivity. This does not include the variation works to install a new connection between the two switchyards. It does however include the investigative work for proposing a new cable route. </t>
  </si>
  <si>
    <t xml:space="preserve">Ferrule changes in ODJB62 and CB/CT62 (Drawings superseded under transmittal issue 84-1 of 20 Feb). Please note: work completed prior to drawings being superseded. </t>
  </si>
  <si>
    <t>Supply and installation of 6 transition/adaptor plates for CT62. Please refer to CQ019.</t>
  </si>
  <si>
    <t>Incorrect wiring in CB62 mech boxe as per Design drawings and manufacturing drawings issued. Please refer to CQ 44. Specifically the cable numbering was quite different to both the construction drawings &amp; the Areva drawing for the same [Dwg 6 000 003] contained with the operation instruction folder retained with the mech box. This was a result of an early model CB being supplied. This variation includes the time spent sourcing the appropriate Areva drawings, making the changes and 'As Builds".</t>
  </si>
  <si>
    <t xml:space="preserve">Additional 2c 2.5mm PVC PVC SWA cable run between CB62 - ODJB62 - control room  at 189m for the CB62 motor supply. Please refer to DQ 13. We unable to use the CB222 cable as per Maunsell design as CB222 still in service as per Transfield's SPO. </t>
  </si>
  <si>
    <t xml:space="preserve">Lost time incurred as a result of cancelled outages on the 3's and 5's bus to remove the jumpers between bay 60 &amp; 70 on the weekend of the 8/9th of March. This variation includes the work for both the Saturday and Sunday (removal and restoration of jumpers) including the associated stand down time whilst awaiting operation control feedback on system stability. Unproductive time for Monday 10 of March has also been charged for 4 men.   </t>
  </si>
  <si>
    <t>Remove redundant equipment from OTA-OTG 110kV Tie Lines Protection 2 Panel 61 as instructed (please refer to CQ056). Includes 'As Built' drawings.</t>
  </si>
  <si>
    <t>Transmission Line staff were planned and mobilised to site for intended outage work of Item 2.1.1 this was not allowed due to system outage release constraints. This Variation claim is for recovery of planning expended, reviews/adjustments to programme, mobilisation/demobilisation expended and loss of momentum of site crew for an intended work flow and productivity disruption.</t>
  </si>
  <si>
    <t xml:space="preserve">Stations overtime worked during the weekends of the Tie Line 1 &amp; 2 relocation outages (overtime only). As per TSL Tender Schedule 2, Form E, Section 2.  </t>
  </si>
  <si>
    <t>Tension spring adjustment for Tie Line 1 take-off points. Extra time involved in fitting tension springs (slotting the girder attachments) and investigation.</t>
  </si>
  <si>
    <t>Stainless Steel bolt replacements on jumpers between bay 60 &amp; 70 for the relocation of Tie Lines 1 &amp; 2.</t>
  </si>
  <si>
    <t>Rotate transverse bus in Bay 60 during the outage. Original layout had dropper tails at the opposite end to the terminal span attachment point. Work conducted on a Sunday during the outage. Two knuckle booms and a hiab required.</t>
  </si>
  <si>
    <t>Constructability of the 220kV cable trench through bay 60 resulted in the repositioning ODJB 1R (SCADA cabling) instead of ODJB62, neither of which was in the original price. Includes supply and installation of 250m of 0.6mm 7pair cable for cables run from primary equipment around other bays to the ODJB. Foundation installed by Tunnel &amp; Civil. The main cable back to the control room was retained, however all points required testing after repositioning and termination of new cabling. Please refer to CQ60 &amp; 43 and ODP-PF-43.</t>
  </si>
  <si>
    <t xml:space="preserve">Two 415V LV AC supply cables running between ODJB62 and ODJB48 were embeded in the old VT2 foundation. Two new cables (4 core 16mm PVC SWA) were required to be run between the ODJB's. This variation includes trenching between cable trenches, concrete cutting of the cable trench, supply and installation of the cable and termination. </t>
  </si>
  <si>
    <t>Tie Line 1 &amp; 2 protection and SCADA issues. DQ18 - CB62 missing SCADA Alarms (5 hours for M. Scrimgeour). ODP-FP-166 - CB62, CB Fail Timers settings confirmation sheets issue (14 hours for M. Scrimgeour). Variation includes Technician time to raise and rectify the issues &amp; 2 hours PE time.</t>
  </si>
  <si>
    <t>220kV OTA-PEN 5 &amp; 6(C) Deviation</t>
  </si>
  <si>
    <t>Install hardwood pole to provide temporary deviation of OTC</t>
  </si>
  <si>
    <t>Install temporary deviation for OTC via 110kV tower 1/2 (via hardwood pole)</t>
  </si>
  <si>
    <t>Install piled foundations for tower 3B (one 1.8 m dia pile per leg, 20m deep)</t>
  </si>
  <si>
    <t>Install piled foundations for tower 3D (one 1.8 m dia pile per leg, 20m deep)</t>
  </si>
  <si>
    <t>Install piled foundations for tower 3E (one 1.8 m dia pile per leg, 20m deep)</t>
  </si>
  <si>
    <t>Install piled foundations for tower 3F (one 1.8 m dia pile per leg, 20m deep)</t>
  </si>
  <si>
    <t>Install new 220kV tower 3B</t>
  </si>
  <si>
    <t>Install new 220kV tower 3D</t>
  </si>
  <si>
    <t>Install new 220kV tower 3E</t>
  </si>
  <si>
    <t>Install new 220kV tower 3F</t>
  </si>
  <si>
    <t>Temporary modifications to OTA-PEN cct Tower T1</t>
  </si>
  <si>
    <t>Restring Transmission line OTA-PEN 6 circuits on new towers</t>
  </si>
  <si>
    <t>Restring Transmission line OTA-PEN 5 circuits on new towers</t>
  </si>
  <si>
    <t>Relocate PEN 6 line from temporary deviation to new 3B Tower</t>
  </si>
  <si>
    <t>Remove existing 220kV OTA-PEN tower T1</t>
  </si>
  <si>
    <t>Remove existing 220kV OTA-PEN tower T2</t>
  </si>
  <si>
    <t>Remove Temporary hardwood pole</t>
  </si>
  <si>
    <t xml:space="preserve">Install earth wire and connections </t>
  </si>
  <si>
    <t>Conductor and termination of PEN 5 to GIS gantry (Gantry by others)</t>
  </si>
  <si>
    <t>Modify protection, control and SCADA panels</t>
  </si>
  <si>
    <r>
      <t xml:space="preserve">Test and commission
</t>
    </r>
    <r>
      <rPr>
        <sz val="10"/>
        <color indexed="12"/>
        <rFont val="Arial"/>
        <family val="2"/>
      </rPr>
      <t>Scope included changes to the protection system, not just setting changes</t>
    </r>
  </si>
  <si>
    <t>Contractor to Specify</t>
  </si>
  <si>
    <t>remove conductorfrom gantry to t1 pen6</t>
  </si>
  <si>
    <t>remove conductorfrom gantry to t1 pen5</t>
  </si>
  <si>
    <t>transfer cct 6 across face of tower 3D</t>
  </si>
  <si>
    <t>access metal for sites</t>
  </si>
  <si>
    <t>install cross arm on Tower 3E</t>
  </si>
  <si>
    <r>
      <t xml:space="preserve">Transfer cct 6 across face of tower 3D (Price includes the setting up of gear line outage and swinging the conductor across the face of the tower to new position).
</t>
    </r>
    <r>
      <rPr>
        <sz val="10"/>
        <color indexed="12"/>
        <rFont val="Arial"/>
        <family val="2"/>
      </rPr>
      <t>Now: Temporary OTA 'C' bonding/jumpering at TWR 1A
See attached separate Lines pricing sheet and refer Neville Cole's email of 21 June 2010</t>
    </r>
  </si>
  <si>
    <t>Amend E &amp; SC pond to accommodate pylon base for tower foundation of 3D (Bulldozer 3hrs, compactor 3hrs, excavator 2.5hrs, and supervisor 3hrs).</t>
  </si>
  <si>
    <t>OTG-OTA Earth bond variation. 
During cut to fill activities it was discovered that the earth bond wire between OTG &amp; OTA had a significant portion of the wire cut and removed by unknown parties. Under separate variations. TSL have located and tested the continuity of the conductors [refer VPR 18026]. Transpower have requested the earth wire be replaced over the entire route. Likewise Contact Energy requested that their section be thrust as they did not want their service road "open cut". Price also includes termination provision for testing at specified locations in OTA &amp; OTG.</t>
  </si>
  <si>
    <t>OPGW relocation old twr 2 - 3B
OPGW from Highbrook contract was terminated on to old twr 2 of OTA-PEN before new twr 3B was built. Transfer OPGW from old twr 2 to new 3B &amp; terminate, thread OPGW into twr body &amp; secure down inside twr leg to an available joint box position 3m above ground (Note: excludes fibre jointing and ground laid fibre installation and hanging of joint box)</t>
  </si>
  <si>
    <t>Carry out 4 x Twr Earth Resistively Tests (related to items 2.2.7 through to 2.2.10)</t>
  </si>
  <si>
    <t>Tie Line 2 Insulator assembly adjustment &amp; Shackle supply
When installing and making-off conductors from Twrs 1/2 to 2/2 the Strain Insulator Set specified (479) on drawing TP63381, Sh1, revA has 2 issues.
1/ The L02 2028 shackles are not suppose to connect on to a round section twr attachment point (flat on round… NOT Std) We rearranged hardware to Std (round on round).
2/ The L02 2028 shackles do not fit the Twr attachment points the clevis opening of the shackle is not big enough. We purchased rigging shackles that could be permanent fixings.</t>
  </si>
  <si>
    <t>Connect new AIS earthgrid to the existing substation earthgrid.</t>
  </si>
  <si>
    <t>Construct sedimentation control system for earthworks</t>
  </si>
  <si>
    <t>Maintain sedimentation control system</t>
  </si>
  <si>
    <t xml:space="preserve">Clear site and remove vegetation and trees, incl 2xPhoenix palms in Hellabys rd, and grove of trees in Substation rd at WKM3 Transition station location. </t>
  </si>
  <si>
    <t>Construct temporary fencing</t>
  </si>
  <si>
    <t xml:space="preserve">Strip top soil </t>
  </si>
  <si>
    <t>Construct earth bund</t>
  </si>
  <si>
    <t>Stockpile topsoil on site for reuse (150mm depth)</t>
  </si>
  <si>
    <t>Dispose of surplus topsoil off site</t>
  </si>
  <si>
    <t>New AIS and GIS substation platform cut to fill</t>
  </si>
  <si>
    <t>New AIS and GIS substation platform cut to waste</t>
  </si>
  <si>
    <t>New AIS and GIS substation platform imported clean fill free of unsuitabls such as organics, topsoil &amp; building waste</t>
  </si>
  <si>
    <t>Supply, place, AP65 hardfill</t>
  </si>
  <si>
    <t>Supply, place, AP65 basecourse</t>
  </si>
  <si>
    <t>Test soil for contaminants</t>
  </si>
  <si>
    <t>Dispose of contaminated soil, 50 m3, (Nickel, Chromium, or Arsenic) off site</t>
  </si>
  <si>
    <t>Supply, place AP40 basecourse</t>
  </si>
  <si>
    <t>Retaining Wall (if required) 1.5m high, by 20m long to platform edge closest to Contact Energy boundary</t>
  </si>
  <si>
    <t>Respread topsoil, harrow and grass seed (150mm depth)</t>
  </si>
  <si>
    <t>Supply and install stormwater system to AIS and GIS substation platform. Allow for 300mm pipework.</t>
  </si>
  <si>
    <t>Supply and install stormwater half round channel to AIS and GIS substation platform.  Allow for 300mm half round</t>
  </si>
  <si>
    <t>Stormwater Catchpit</t>
  </si>
  <si>
    <t>Stormwater Manhole. Allow 1 metre daimetre, by 1 metre deep.</t>
  </si>
  <si>
    <t>Pipe, manhole and Backfill existing Contact Energy Stormwater containment pond</t>
  </si>
  <si>
    <t>Remove sedimentation control system, excluding pond, which shall remain</t>
  </si>
  <si>
    <t>Remove topsoil earth bund and dispose of off site</t>
  </si>
  <si>
    <t>Remove temporary fencing</t>
  </si>
  <si>
    <t>Clean up site</t>
  </si>
  <si>
    <t>W</t>
  </si>
  <si>
    <t>Seal over exisitng Watercare sewer manhole MH11, and satelite MH's</t>
  </si>
  <si>
    <t>Replace MH11 with new manhole near Hellabys Rd. Allow 1.2M diametre by 12 M deep.</t>
  </si>
  <si>
    <t>Replace MH11 with new manhole near Sparkys Rd.  Allow 1.2M diametre by 12 M deep.</t>
  </si>
  <si>
    <t>Reconnect Contact Energy sewer into the MH near Sparky's Rd, via satelite MH. Allow 220mm dia pipework.</t>
  </si>
  <si>
    <t>Contact Energy sewer satelite MH beside new Watercare MH in Sparky's Rd. Allow 1.2 M diametre, by 12 M deep.</t>
  </si>
  <si>
    <t>Reconnect warehouse sewer into the MH near Sparky's Rd, via satelite MH. Allow 150mm dia  pipework.</t>
  </si>
  <si>
    <t>Warehouse sewer satelite MH beside new Watercare MH in Sparky's Rd. Allow 1.2 M diametre, by 1.0M deep.</t>
  </si>
  <si>
    <t>Supply and install sewer connection for GIS building into MH near Hellaby's Rd via satelite MH.  Allow 100mm dia  pipework.</t>
  </si>
  <si>
    <t>GIS Building  sewer satelite MH beside new Watercare MH in Sparky's Rd. Allow 1.2 M diametre, by 1.0M deep.</t>
  </si>
  <si>
    <t>Carry out earthworks, and construct Transfield carpark</t>
  </si>
  <si>
    <t>Transfield carpark chip seal grade 3/4 chipseal 180/200 bitumen</t>
  </si>
  <si>
    <t>Construct Transfield carpark fencing</t>
  </si>
  <si>
    <t>Supply and install stormwater system for Transfield carpark, treated to MMC system. Allow for 300mm pipework</t>
  </si>
  <si>
    <t>Supply and install Hynds Up-Flow filter treatment (or similar) to Transfield carpark stormwater</t>
  </si>
  <si>
    <t>Modify existing warehouse area stormwater, treated to MMC stormwater.  Allow for 300mm pipework</t>
  </si>
  <si>
    <t>Supply and install Hynds Up-Flow filter treatment (or similar) to warehouse stormwater</t>
  </si>
  <si>
    <t>Supply and install stormwater system for GIS driveway &amp; carpark, treated to MMC system.   Allow for 300mm pipework</t>
  </si>
  <si>
    <t>Supply and install Hynds Up-Flow filter treatment (or similar) to GIS Driveway &amp; Carpark stormwater</t>
  </si>
  <si>
    <t>Install bollards along cable route adjacent to Substation Rd for HLY2 &amp; OHW2 cables</t>
  </si>
  <si>
    <t>Install access road and carpark to GIS building</t>
  </si>
  <si>
    <r>
      <t xml:space="preserve">Supply and install street lighting to access road and carpark to GIS building
- </t>
    </r>
    <r>
      <rPr>
        <sz val="12"/>
        <color indexed="12"/>
        <rFont val="Arial"/>
        <family val="2"/>
      </rPr>
      <t>Reduced height of lighting poles, but requirement for cabling to be installed in conduit</t>
    </r>
  </si>
  <si>
    <t>Supply and install precast concrete cable trench between new AIS fence and existing 110kV switchyard trench system</t>
  </si>
  <si>
    <t>Extend the northeast existing switchyard fence to beyond 220kV cable trenches</t>
  </si>
  <si>
    <t>Supply and Install Switchyard fence between GIS Building 220kv cable trenches and Transfield offices</t>
  </si>
  <si>
    <t xml:space="preserve">Demolish the existing Warehouse Nissin Huts and liaise with Transpower's representative to transport the dismantled building to secure storage location on site </t>
  </si>
  <si>
    <t xml:space="preserve">Demolish and remove existing Warehouse Nissin Huts  foundations and services. </t>
  </si>
  <si>
    <t xml:space="preserve"> Carefully dismantle the existing 'K' shed and liaise with Transpower's representative to transport the dismantled building to secure storage location on site</t>
  </si>
  <si>
    <t xml:space="preserve"> Dismantle the existing 'K' shed foundations and services</t>
  </si>
  <si>
    <t>Construct 15 m wide lean-to extension to three sides of exisiting "Benmore" shed</t>
  </si>
  <si>
    <t>Undercut areas of weak sub-grade &amp; replace with GAP65 hard fill (provis qty)</t>
  </si>
  <si>
    <t>Remove existing topsoil &amp; concrete &amp; construct crushed rock &amp; nib wall east end of extg station</t>
  </si>
  <si>
    <t>Lime dry fill with 2% lime (Provisional quantity)</t>
  </si>
  <si>
    <t>Contractor to Specify (Remove concrete foundations TP Store metalled area)</t>
  </si>
  <si>
    <t>Remove rubbish from TP stores outdoor laydown area - As variation Nikau Contractors Ltd removed rubbish from the Transpower stores area in the new AIS platform area near the K Shed. Please refer to CQ 001</t>
  </si>
  <si>
    <t xml:space="preserve">Remove existing tower foundation - Remove an existing tower foundation discovered whilst stripping the GIS platform. Included breaking out the 12 feet deep tower foundation and filling the hole with compacted backfill. Please refer to CQ12. </t>
  </si>
  <si>
    <t>Clear a K shed lay down area in the Transpower Steel yard - Nikau Contractors Ltd. Please refer to CQ 007.</t>
  </si>
  <si>
    <t>Temporary demarcation fencing (orange mesh safety fencing) has been erected (≈225m @ $12/m) in and area between Transfield Services offices and the new GIS cable trench and along the saw cut of the K shed foundation. Please refer to CQ9.</t>
  </si>
  <si>
    <t>Drainage Section A-A &amp; B-B - Surface drain detail A added (not tendered for). Submitted price based on 156m @ $76/m.</t>
  </si>
  <si>
    <t>Install 6 enviropods - x 3 in Transpowers Store yard, x 3 along Hellabys Road.</t>
  </si>
  <si>
    <t>Remove 4 concrete chambers along Hellabys Road @ $940 each.</t>
  </si>
  <si>
    <t>Vegetation control (cutting &amp; spraying) along Otahuhu site perimeter (19/03/08 - 20/03/08). 2 men x 2 days</t>
  </si>
  <si>
    <t>Platform Layout Plan - original price was to remove kerb &amp; construct 12m concrete access with nib added.old comment. Concrete nib wall added.new comment. Price based on 110m @ $487.50/m</t>
  </si>
  <si>
    <t>220kV GIS/AIS Platform Section 9-9 - temporary access ramp added (not tendered for). Submitted price based on 90m2 @ $151/m2</t>
  </si>
  <si>
    <t>Straw mulch topsoil area - stabilise dusty top soil area at Contacts request</t>
  </si>
  <si>
    <t>Concrete nib wall detailed on TP63360_0_2 based on 100m @ $ $412.50/m (not tendered for)</t>
  </si>
  <si>
    <t xml:space="preserve">Temporary fencing (orange mesh safety fencing) has been erected (≈110m @ $12/m) along the Hellabys road kerb protecting the unfilled area between the fence and newly erected nib wall. </t>
  </si>
  <si>
    <t>Removal of existing stormwater from the platform as specified on TP63300 and taken off site. $210.28/lm @ 107m</t>
  </si>
  <si>
    <t>Removal of 126m of stormwater near the cut k shed slab as per TP63300. This is in addition to stormwater already removed on the platform and claimed in July under item 2.14.62. 
Please refer to the attached breakdown.</t>
  </si>
  <si>
    <t>Backfilling of storm water trenches with GAP65 in addition to new rates provided for extra depth and over diameter pipes. As specified those rates only included backfilling with excavated material and hardfill compacted material would be required in addition. Estimated volume is 279m3 @ 94m3. This scope refinement was submitted in July and now needs to be reversed as costs have been re allocated under items 2.14.18, 2.14.63 and 2.14.64.</t>
  </si>
  <si>
    <t>Investigate blocked sewer near Transpower Stores (blocked between SSMH 03 and Watercare SSMH 11). Tried locating point of blockage with a CCTV camera and unblocking unit, ecavate pipe, repair blockage and reinstate (backfil and hardfil).  Please refer to ODP-FP-183.</t>
  </si>
  <si>
    <t xml:space="preserve">Preparation of the RCN Building structural crack report for the instllation of MH11B. This report was prepared by Hec Sutherland and issued under ODP-FP-196. Includes 19 hours of Hec's time at a Project Engineer rate. </t>
  </si>
  <si>
    <t>Remove existing MH discovered at location of MH03 and removal of contaminated spoil.
Whilst excavating to install MH03 on the Benmore wastewater pipeline, an existing dry chamber manhole was encountered. Due to the location (off set from HDD line) the dry chamber required removal.</t>
  </si>
  <si>
    <t xml:space="preserve">Remove the top of existing MH D. Seal pipeline, backfill manhole with concrete and hardfill. </t>
  </si>
  <si>
    <t>Install SW Filter System (items 2.14.33A, 2.14.34A, 2.14.35A). As per SW breakdown - rev04.xls</t>
  </si>
  <si>
    <t>Variation works involved extra excavation to move an already constructed silt pond and to realign SWMH01A to allow establishment of drill pit chamber. This was as a result of an unknown water main conflict (unforeseen by the designers) as described by ODP-FP-230. The existing ground level was approx 1.5m higher than the originally designed top of MH which resulted in increased earthwork to establish drll pit.  
Price breakdown attached.</t>
  </si>
  <si>
    <t>New item for the nib/reinforcing wall in between Transfield Services and the GIS platform as per the nib/reinforcing wall constructed for along hellabys Road under item 2.14.57 - $487.50/m @ 107m</t>
  </si>
  <si>
    <t>U</t>
  </si>
  <si>
    <t>Relocation of approx 146.0m of existing 150mm water main by Stonedale.
Price includes (please find attached pricing breakdown): 
1. Establishment
2. All excavation and reinstatement works including road pavement and grass berm
3. Allowed to place new water main aprox 5.0m to the East of the existing main and to reconnect the 3 existing 150mm branches to new water main
4. Allowed to lower the first 5.0m along Hellaby Rd to allow new cable trough to pass over top
5. Chlorination and testing of new lines
6. After hours shut down and connection of new line to minimise disturbance during normal working hours</t>
  </si>
  <si>
    <t>Stonedale service relocation site investigations:
  - 17/10/2008
  - 22/10/2008
  - 19/09/2008
  - 18/09/2008
All works based on daily charge out rates. Please find attached worksheets.</t>
  </si>
  <si>
    <t>Site Service relocation management. Man hours to date = 183.
Project Engineer / Planning Co-ordinator rate = $55.96 + 45% (overheads) &amp; 7% (profit)</t>
  </si>
  <si>
    <t>Site Service relocation management. Man hours to date = 323.
183 charged last month (incorrectly) with a variation margin as it was decided this would be charged at a cost rate (including overheads). Therefore a 'give back' of $1039.43 is included in this price.
Project Engineer / Planning Co-ordinator rate = $55.96 + 45% (overheads) @ 139 hours = $11,278.74 - $1,039.43 = Total $10,239.31</t>
  </si>
  <si>
    <t>Stonedale Civil relocation of 150D Water Main along the front of the OTA Switchyard and along Hellabys Road.
Variations works for Epoxy coated steel sections (PVC lowered to 2.5m below Hellabys Road over 28m &amp; AC lowered to 3m below Heabblabys Road over 30m) Total $47,583.00 (without TSL 5% &amp; 7% mark-up for subcontractor variations)
Price breakdown attached.</t>
  </si>
  <si>
    <t>Stonedale Civil Service Exploratory Works
Dayworks rate for 10.5 days from the 4th to the 21st of November @ $840/day (without TSL 5% &amp; 7% mark-up for subcontractor variations)
Quote attached.</t>
  </si>
  <si>
    <t>OTA Substation front entrance gate control and power cable relocation by Magdrive Technologies Ltd (who originally installed the gate controller)
Quote attached.</t>
  </si>
  <si>
    <t>Additional column and grid for the Benmore Lean-to as per TP64637_0_3 &amp; TP64635_0_4 vis ODP-PF-570 (Lean to fill-in section)
T&amp;C price = $2,541.36 (with TSL contract mark-up)
United price = $4,370.42 (with TSL contract mark-up)</t>
  </si>
  <si>
    <t>Additional 54 m of medium security security fence around the Transfield Carpark that was to be completed by AREVA and has now been given to Transfield to complete the security around the TSL carpark.
54 lm of medium security with power fence with an 8m gate (scope refinement 6% mark-up)
Price breakdown attached.</t>
  </si>
  <si>
    <t xml:space="preserve">Waste Water Variation No. 3 - Delays on MH11 construction (Clive Tilby approval for $47,670.11 as per ODP-PF-574)
NOTE: TSL subcontractor margin mark-up of 5% (overheads) and 7% (profit) for variations as per TSL's tender still to be applied (no processing costs applied) after resolution as to the understanding of Clive's last sentence in his report. </t>
  </si>
  <si>
    <t xml:space="preserve">Waste Water Variation No. 9 - Additional Dewatering Sump at MH11A (Clive Tilby approval for $28,692.24 as per ODP-PF-574).
NOTE: TSL subcontractor margin mark-up of 5% (overheads) and 7% (profit) for variations as per TSL's tender still to be applied (no processing costs applied) after resolution as to the understanding of Clive's last sentence in his report. </t>
  </si>
  <si>
    <t xml:space="preserve">Waste Water Variation No. 19 - Load Test on Srew Piles (Clive Tilby approval for $7,135.35 as per ODP-PF-574)
NOTE: TSL subcontractor margin mark-up of 5% (overheads) and 7% (profit) for variations as per TSL's tender still to be applied (no processing costs applied) after resolution as to the understanding of Clive's last sentence in his report. </t>
  </si>
  <si>
    <t xml:space="preserve">Waste Water Variation No. 20 - Change in Pipe Size (Clive Tilby approval for $11,010.30 as per ODP-PF-574)
NOTE: TSL subcontractor margin mark-up of 5% (overheads) and 7% (profit) for variations as per TSL's tender still to be applied (no processing costs applied) after resolution as to the understanding of Clive's last sentence in his report. </t>
  </si>
  <si>
    <t xml:space="preserve">Waste Water Variation No. 21 - Oversize Dewater Sump (Clive Tilby approval for $14,346.12 as per ODP-PF-574)
NOTE: TSL subcontractor margin mark-up of 5% (overheads) and 7% (profit) for variations as per TSL's tender still to be applied (no processing costs applied) after resolution as to the understanding of Clive's last sentence in his report. </t>
  </si>
  <si>
    <t>Fibre relocation
$32,094 (TSL Infrastructure portion) + $87,650.98 (Downers portion including TSL margin) = $119,744.98
TSL directional drilling includes installation of 1 x 110 mm green duct complete with draw string (no allowance has been made for the obtaining of resource consent for working under the drip line of a protected trees and no allowance has been made for any unforeseen ground conditions). 
Downers price includes:
Supply ducting, supply and install 2 manholes and uplift and re-install concrete panels to install ducting.
$32,038.50
Supply and install fibre into buildings, joint and divert, then remove old plant.
$44967.40
Telecom permits 
$1010.10
Any additional TSL labour input outside the infrastructure thrusting will be charged at cost under the Site Service Relocation variation code.</t>
  </si>
  <si>
    <t xml:space="preserve">Oil interceptor relocation works
Stonedale Civil price for the oil interceptor relocation works as per the FOR CONSTRUCTION drawings issued under ODP-PF-578 is $84,863.24 (as per ODP-PF-585 &amp; including TSL margin). This does not include TSL Safety Standover hours required whilst trenching within the Switchyard. These will be charged under the 'Investigation shifting of existing site services' variation code.  </t>
  </si>
  <si>
    <t>Site Service relocation management. Man hours to date = 694.
371 hours since last claim. This includes 143.5 hours from another JDE code (Engineering for existing site services -  the time was mainly Hec Sutherland's hours since 24/08/08). This code was used in conjunction with the main code and has now been closed and all TSL time booked to the one code. Original code hours includes cable locating, trench cover fabrication and placement, management and safety observing.   
Project Engineer / Planning Co-ordinator rate = $55.96 + 45% (overheads) @ 240.5 hours = $19,514.65 
Electrical fitter rate = $33.85 + 45% (overheads) @ 130.5 hours = $6,405.27
Total = $25,919.92</t>
  </si>
  <si>
    <t>TSL mark-up applied to WW variations approved by Clive Tilby without the 5% BPC "processing costs" (as clarified under ODP-PF-593).
Total value approved in December (VO3, 9, 19, 21 &amp; 21) = $96,888.40, therefore, minus 5% processing costs = $92,274.67 and with TSL's 12.35% subcontractor (overheads + profit) mark-up applied the total is $103,670.59
Therefore the total EO for the TSL margin excluding the 5% BPC processing cost = $6,782.19 ($103,670.59 - $96,888.40)</t>
  </si>
  <si>
    <t xml:space="preserve">Straw mulch topsoil area - stabilise dusty top soil area at Contacts request where cut to fill on site had been laid. Also approximately 20m x 6m of straw mulching and grass seed laid under the relocated OTA 'C' &amp; PEN 5 towers. 
Total = $3,617.44 </t>
  </si>
  <si>
    <t>Temporary works site/zoning demarcation fencing (orange mesh safety fencing) 
≈ 347m @ $12/m as per attached sketch (Safety fence along Hellabys Rd already charged for). 
Total = $4,164.00</t>
  </si>
  <si>
    <t>Additional GIS Building Sewer Satellite MH03 located in the GIS platform to allow for future connection . Allow 1.2m D by 2m deep, benched ,channelled complete with HD lids = $12,046.50
Approved by Maunsell (16/01/09)</t>
  </si>
  <si>
    <t>ODP-FP-268
Temporary fence installation for Transpower's Stores area access gates to enable the installation of storm water pipes between MH02 &amp; 02A. A hot wire was installed on a temporary fence section for a period of weeks to allow for installation.
Paul Nathan = $4,743.51 (with TSL margin)</t>
  </si>
  <si>
    <t>Benmore shed power supply outlet and shifting of the roller door MCB as requested by Dick Harris (included replacing already blown fuses to other power outlets)
Materials = $314.34 (includes PDL socket, conduit, fuses, etc)
Labour @ $52.52/hr (including TSL overheads &amp; profit mark-up) for 8 hours = $420.15
Total = $734.5</t>
  </si>
  <si>
    <t>Investigate shifting of existing site services (Site service relocation man hours)
- 694 as at Jan changes
- 882 hours to date (as at Feb changes) - 694 claimed up to Jan changes = 188hours (185hours @ T1 and 3hours @ T1 1/2)
Labour:
Project Engineer / Planning Co-ordinator rate = $55.96 + 45% (overheads) @ 144 hours = $11,684.45 
Electrical fitter rate (T1) = $33.85 + 45% (overheads) @ 41 hours = $2,012.38
Electrical fitter rate (T1 1/2) = $42.75 + 45% (overheads) @ 3 hours = $185.96
Total = $13,882.79
Subcontractors:
Tana Enterprise Ltd (contractor safety observing for the oil interceptor works) 29 hours @ $56.18/hr = $1,629.22
Grout Seal Ltd (smoke and video tests) = $870.71
Total = $2,499.93
Materials:
Copy &amp; Print for A1 drawings = $42.69
Timber for damaged wooden cable lids = $200.48
Cadweld charges for earth wire relocation = $1,117.73
Total = $1,360.90
Grand total = $17,743.62</t>
  </si>
  <si>
    <t>Shifting of the transition station towers and gantries to enable the partial handover of the platform to AREVA. Variation includes the crane hire and some coordination &amp; supervision time. 
NZ crane hire $1,361.69</t>
  </si>
  <si>
    <t>Stonedale
Expose, remove existing main, supply and place new section of 150mm main lowering the existing to 2.5m deep (over 4m) = $7,645.42 (including TSL margin)
Invoice attached</t>
  </si>
  <si>
    <t>Stonedale
Works locating underground services at Otahuhu. Dayworks completed from 3/12/08 to 12/01/09 = $6,280.37 (including TSL margin)
Invoice attached</t>
  </si>
  <si>
    <t xml:space="preserve">ODP-PF-713 (respreading of topsoil from AREVA stockpile)
30 hours of bulldozer works to spread, shape, and track roll the existing stockpiled material @ $115/hr + costs to transport and remove from site $500/per visit = $3,950.
As directed a further 40 hours spread over two visits is to be priced for to be claimed against at a later date (40 x $115 + ($500 x 2) = $5,600.
Total = $9,550 </t>
  </si>
  <si>
    <t>Stonedale 
Stormwater relocation - divert the existing SW pipe currently located directly under the HLY Transition station = $9,795.68 (including TSL margin)
Invoice attached</t>
  </si>
  <si>
    <t>ODP-PF-637 (Revised drawings issued to relocate the column away from the existing roller door at the end of the Benmore shed)
Tunnel &amp; Civil:
Locally widen excavation by hand for the new footing. Re-survey, dismantle reinforcing from old location and re-tie around exiting tie beam steel 
Total cost $700 + GST (including TSL margin)</t>
  </si>
  <si>
    <t>Price for works undertaken to construct a triangular concrete infill near the K Shed slab
Break out and remove cast in situ nib $2,653.00
Supply and place 50mm GAP40  metal (3m3) = $282.00
Supply and place 200mm concrete with one layer of reinforcing mesh (30m2) = $3,816.00
Total = $6,751.00</t>
  </si>
  <si>
    <t>Tunnel &amp; Civil's variation to fill in the concrete bund area around the Benmore Shed (as per ODP-FP-337):
- Subgrade preparation (approx 62 sq.m @ $49.30)     $3,056 
- Supply, drill &amp; epoxy dowels including debonding (approx 310 No. @ $14.86)     $4,606 
- Supply and Lay 666 mesh (approx 62sq.m. @ $23.76)     $1,473 
- Place and finish concrete 150mm thick (approx 62 sq.m. @ $89.43)     $5,545 
TOTAL $14,680 (excluding TSL margin)
Tunnel &amp; Civil's variation for the bund nib wall and associated ramps (ODP-FP-346):
Construct bund wall to RL 0.03 Grid Lines E, 11, A: 91.8m     $18,497
Construct bund wall to RL 0.03 Grid Line 6 after building works     $4,067
Ramp on Grid E: 5m wide as per sketch attached     $9,399
Ramp on Grid 6: 5m wide as per sketch attached     $6,958    
TOTAL $38,921 (excluding TSL margin)
Total = $60,220.72 (including TSL margin)</t>
  </si>
  <si>
    <t>Investigate shifting of existing site services
1055 hours as at March changes - 882 claimed up to Feb changes = 173 hours
Labour:
Project Engineer / Planning Co-ordinator rate = $55.96 + 45% (overheads) @ 140 hours = $11,359.88 
Electrical fitter rate (T1) = $33.85 + 45% (overheads) @ 33 hours = $1,619.72
Total = $12,979.60
Subcontractors:
Hirepool barriers hire for 8 weeks along Hellabys Road (PO21110973). $429.20/wk = $3,433.42
Total = $3,433.42
Materials:
Timber for damaged wooden cable lids = $95.73
Total = $107.55
Total = $16,520.57</t>
  </si>
  <si>
    <t>Straw mulch area under SWN &amp; HEN lines as requested by Garry Wright on 27 Feb 2009
$7,600 based on 8,000m2 @ 95c/m2</t>
  </si>
  <si>
    <t>Stondale 
Stormwater relocation - divert the existing SW pipe currently located directly under the HLY Transition station = $9,795.68
Now $12,175.93 with additional costs for an additional 15m - 20m of 225dia RCRRJ stormwater pipe
Therefore, EO = $2,380.25
Invoice attached</t>
  </si>
  <si>
    <t xml:space="preserve">Stonedale
New 50mm connection to main and 50mm valve 50mm valve to supply new construction area $820.26
Invoice attached </t>
  </si>
  <si>
    <t>Stonedale
Relocate fire hose at Transpower stores to allow them to knock down the wooden carport $558.38 (charged at day rates)
Invoice attached</t>
  </si>
  <si>
    <t>Stonedale
Dayworks (18, 19 &amp; 20/02/09) = $2,595.29 
Invoice attached</t>
  </si>
  <si>
    <t>Temporary works site demarcation fencing (orange mesh safety fencing) 
≈ 200m @ $12/m as per attached sketch (Safety fence for both the PAK &amp; HLY transition stations) 
Total = $2,400.00</t>
  </si>
  <si>
    <t>Specifically manufactured pulpit lid lifters to remain on site (for the pulpits installed on the platform and along Hellabys Road)
$849.67 for two</t>
  </si>
  <si>
    <t>ODP-PF-698: Hellaby Rd Catch Pit Relocation Works
Price to install catch pits G &amp; H and associated drainage in Hellaby’s Road. Prices for modifying / replacing catchpits A, B,C &amp; D will be forwarded in the near future.
Total $49,998.00 (as per Stonedale invoice). Price does not include removal of old pipes. These pipes can be removed under dayworks rates.
Stonedale invoice attached</t>
  </si>
  <si>
    <t xml:space="preserve">Makeup risers for SW / WW MH's due to changes in finished levels as follows:
   - 1050dia = $882/m
   - 1200dia = $1,102/m
   - 1500dia = $1,432/m
   - 1800dia = $2,084/m
   - 2300dia = $4,168/m
Submitted and approved in November 08
Now: 
Manhole 01A 1500mm diameter raised 1.09m [1.09m x $1,432.00/m = $1,560.88]
Manhole 02 1500mm diameter raised 0.18m [0.18m x $1,432.00/m = $257.76]       
Manhole 02A 1500mm diameter raised 0.36m [0.36m x $1,432.00/m = $515.52]       
Manhole 04 1600mm diameter raised 0.13m [0.13m x $1,432.00/m = $186.16]        
Manhole 05 1500mm diameter raised 0.77m [0.77m x $1,432.00/m = $1,102.64]   
Manhole 06 1200mm diameter raised 0.31m [0.31m x $1,102.00/m = $341.62]     
Manhole 07 1050mm diameter raised 0.1m [0.10m x $882.00/m = $88.20]    
Total $4,052.78 </t>
  </si>
  <si>
    <t xml:space="preserve">Installation of the sealed manhole lid at Transpower stores MH (existing)
Hynds quote $1,060.80 (cost)
Labour 1.5 hr @ $37/hr $55.50
Subtotal $1,116.30
Margin (5%+7%) $147.20
Total $1,263.50 </t>
  </si>
  <si>
    <t>Temporary works site demarcation fencing (orange mesh safety fencing) 
≈ 380m @ $12/m as per attached sketch (Safety fence for along the platform kerb and channel parallel with the k-shed slab [165m], around the HEN TS [92m] and along Hellabys Road for open excavations [128m]) 
Total = $4,560.00</t>
  </si>
  <si>
    <t xml:space="preserve">Investigate shifting of existing site services (April)
1337 hours as at April changes - 1055 claimed up to March changes = 282 hours
Labour:
Project Engineer / Planning Co-ordinator rate = $55.96 + 45% (overheads) @ 166 hours = $13,469.57
Electrical fitter rate = $33.85 + 45% (overheads) @ 60 hours = $2,944.95
Trades Assistant / Trainee = $25.6 + 45% (overheads) @ 48 hours = $1,781.76
Communications Technician = $46.87 + 45% (overheads) @ 8 hours = $543.69
Total = $18,739.97
Subcontractors:
Tana Enterprise Ltd (contractor safety observing for the 11kV relocation works) 28 hours @ $56.18/hr = $1,572.90
Treecare services (consent &amp; reports) = $2,2022.30
Trecare services (removal of trees) = $1,674.00
INF for 11kV relocation works = $4,979.91
Total = $10,249.13
Materials:
Safety signs for the gates on gate 6 = $155.04
Cadweld mould = $522.42
Cadweld chargers = $3,072.73
Miscelleous materials = $218.91
Total = $3,969.10
Grand total = $32,958.20
</t>
  </si>
  <si>
    <t>Install additional hotmix to the AREVA site office driveway when TSL are hotmixing the Transpower stores drive tomorrow.
Area of 20m2 (width varies from 4.6m to 3.7m, and is 4.8m long)
The cost of this would be 20m2 @ $47.90/m2 = $958</t>
  </si>
  <si>
    <t>ODP-PF-808: Sparky Rd Surplus Spoil Dump Site
As instructed under ODP-PF-808
As a result of the ARC site meeting/inspection can Transfield Services action the following:
1.       This week can the existing spoil piles (and the new ones added by AREVA from the platform) be flattened &amp; straw mulched     Flattened under the existing item set up in March under ODP-PF-713. Straw multching $6,400 (two rounds) 
2.       Can 2 x enviro pods be placed in the sparky rd catch pits opposite the new MH11A      $1,444.00
3.       Can the existing enviro pods on Hellaby rd opposite the AREVA office &amp; and any others be cleaned (&amp; the rd gutter as well)      $1,443.70
Total = $9,287.70</t>
  </si>
  <si>
    <t>ODP-PF-811: Conflict with existing services CB 48 OTA 110kV AIS and C and I Trench for new GIS
T&amp;C submit their costs for the excavation, stand-bye and subsequent backfilling of the C&amp;I cable trench which was started under outage conditions from 16/3/09 to 19/3/09. Due to the presence of underground unforeseen services the work was abandoned and a new cable trench route was designed.
18 March: Excavate, expose services, hand dig around cables and drainage pipe, investigative excavation. Remove excavated spoil from site.
19 March: 5 hrs stand-bye waiting for instruction as to how to proceed.
20 March: Uplift hard fill from on-site stockpile, import bedding sand, backfill and replace yard chip.
Materials     $156
Labour      $2,522
Plant         $3,374
Total         $6,052 (excluding TSL margin)</t>
  </si>
  <si>
    <t xml:space="preserve">Benmore shed variations - United Engineering
Benmore 5 - Variation for installation of translucent sheeting Wall Cladding to Line A &amp; B (Clarification of wall cladding not in original scope of work as per email 9/4/09 - ODP-CQ-157) 
Total = $15,200.96
Benmore 6 - Variation for installation of footing flashing and timber at bottom of wall cladding as detailed to top of the plinth (Clarification of wall cladding footing not in original scope of work as per email 8/4/09) 
Total = $5,536.61
Benmore 7 - Variation to install timber to facilitate hip roofing (No support structure detailed for fixing of roof cladding to hip rafter line 10B to 11A. Not in original scope of work as per U.E email 3/4/09 item 8) 
Total = $3,828.66
Benmore 9 - External gutter changed from original quotation (Not part of original scope of work quoted )
Total = $5,543.35
Benmore 10 - Construct internal guttering, including timberwork to facilitate 1.5mm black butynol membrane (Not part of the original scope of work quoted)
Total = $17,039.00
Grand total = $47,148.58
Invoices attached </t>
  </si>
  <si>
    <t>Investigate shifting of existing site services - April/May
1568 hours as at April changes - 1337 claimed up to April changes = 231 hours
Labour:
Project Engineer / Planning Co-ordinator rate = $55.96 + 45% (overheads) @ 118 hours = $9,574.76
Electrical fitter rate = $33.85 + 45% (overheads) @ 105 hours = $5,153.66
Trades Assistant / Trainee = $25.6 + 45% (overheads) @ 8 hours = $296.96
Total = $15,025.38
Materials:
General cable (PO21111764) = $3,080.00
Miscellaneous materials = $1,105.50
Total = $4,184.50
Grand total = $19,209.88</t>
  </si>
  <si>
    <t>ODP-FP-430: Metal for Transpower stores steel yard
Total $7,679.00
Breakdown as per ODP-FP-430 attached</t>
  </si>
  <si>
    <t>Stonedale Civil Dayworks
Dayworks completed during the period of March - see invoice
Total = $6,552.25
Invoice attached</t>
  </si>
  <si>
    <t>Construct access track into PAK transition station
Total = $2,370 (price breakdown attached)</t>
  </si>
  <si>
    <t>ODP-PF-836: Sparky Rd Spoil Dump Site Erosion &amp; Sedimentation Control Plan Implementation
Implementation of Erosion &amp; Sediment Control measures in the fill area as instructed under ODP-PF-836 = $9,380.00
See invoice for breakdown</t>
  </si>
  <si>
    <t>Hotmix repairs
Hotmix repairs under the Otahuhu Enabling Works (Areas 1 - 3) as per attached pricing breakdown.
Total = $73,879.40 ($80,357.10 - $6,477.70)</t>
  </si>
  <si>
    <t>Benmore shed sprinkler work (OPUS) submitted and approved under ODPFP-457
Total = $6,830.43</t>
  </si>
  <si>
    <t>Remaining Benmore shed lean-to variations submitted and approved under ODP-FP-472 
Benmore shed lean-to variations from united Engineering as submitted under ODP-FP-472:
Variation #2 = $123.59
Variation #3 = $1,881.86
Variation #4 = $915.65
Variation #8 = $4,370.42
Total = $7,291.52
United variation pricing attached as per ODP-FP-472</t>
  </si>
  <si>
    <t>T&amp;C roller door weather seal price as submitted and approved under ODP-FP-480
We submit our price for the roller door weather seal detail as per sketch provided.
Construct revised roller door bund detail  to the 2 roller doors on grid A (between grids 10 &amp; 11) and for the roller door on grid 11 (between grids A &amp; B).
                New bund detail at 3 roller door locations = $3,058
                Less original allowance for blockwork bund 5.76 sq.m. @ $281.80 = $1,623
                Extra over cost for revised bund detail = $1,435  ($478 each) [excluding TSL margin]
The roller door bund on grid E will not be constructed in blockwork but the same detail will be incorporated into the concrete insitu ramp at this location at no additional cost.
Total = $1,612.22</t>
  </si>
  <si>
    <t>Benmore Shed lean-to door jamb plinths as submitted and approved under ODP-FP-479
We submit our price for the roller door jamb plinths as detailed below:
To construct 6 No. Plinths as per sketch provided @ $528 each = $3,168 (excl TSL margin)
Base plate grouting (if you require us to do it) 6 No. @$45 each  = $270 (excl TSL margin)
This price is for the door jambs for the 2 roller doors on grid A (between grids 10 &amp; 11) and for the roller door on grid 11 (between grids A &amp; B).
We note the roller door on grid E does not require any door jamb plinths.
Total = $3,862.59</t>
  </si>
  <si>
    <t>Road sweeping
30/04 &amp; 01/05 road sweeping (clean road and entrance to tip area) $1,750
02/06 road sweeping $1,035
Total = $2,785.00</t>
  </si>
  <si>
    <t>Shifting of existing site services (outside the sub for May)
1653 hours as at May changes - 1337 claimed up to April changes = 316 hours
Labour:
Project Engineer / Planning Co-ordinator rate = $55.96 + 45% (overheads) @ 194 hours = $15,741.55
Electrical fitter rate = $33.85 + 45% (overheads) @ 84 hours = $4,122.93
Trades Assistant / Trainee = $25.6 + 45% (overheads) @ 38 hours = $1,410.56
Total = $21,275.04
Subcontractors:
Treecare (removal of stumps) = $1,674.01
Stonedale (dayworks for April/May - invoice attached) = $3,086.25
Detection of services = $337.05
Total = $5,097.31
Materials:
Cable repairs materials (incl. cable) = $2,059.35
Padlocks = $113.28
Total = $2,172.63
Total = $28,544.98</t>
  </si>
  <si>
    <t>Shifting of existing site services (inside the sub for May)
55 hours as at May changes - 0 claimed up to April changes = 55 hours
Labour:
Project Engineer / Planning Co-ordinator rate = $55.96 + 45% (overheads) @ 32 hours = $2,596.54
Electrical fitter rate = $33.85 + 45% (overheads) @ 12 hours = $588.99
Trades Assistant / Trainee = $25.6 + 45% (overheads) @ 11 hours = $408.32
Total = $3,593.85
Subcontractors:
Stonedale Civil - Redirection of 225 dia Oil Interceptor line within the switchyard = $15,893.03 (invoice attached)
Concrete cutting = $308.96
Tana Enterprises Ltd (safety observing) @ 31 hours = $1,741.43
Total = $17,943.42
Materials:
N/A
Total = $21,537.27</t>
  </si>
  <si>
    <t>Construct access track onto tip site (with the hardfill removed from the Contact pond access track) as part of ODP-PF-836.
Total = $785.00 (price breakdown attached)</t>
  </si>
  <si>
    <t>Straw mulch around all transition stations (except Henderson as Henderson is surrounded by an existing metal pad).
Total = $2,480 (3100m2 @ $0.80/m2) pricing breakdown attached</t>
  </si>
  <si>
    <t>Please find attached as discussed / requested our PO for removal of the temporary gates and reinstatement of boundary fence between Contact / Transpower.
PO 21112368   $932.80</t>
  </si>
  <si>
    <t>Site Service relocation (outside the substation) JUNE
Investigate shifting of existing site services (outside the sub in June). This job number is to be closed down by the end of this month and all remaining service relocation costs will be captured under 18140.
1697 hours as at June changes - 1653 claimed up to May changes = 44 hours
Labour:
Project Engineer / Planning Co-ordinator rate = $55.96 + 45% (overheads) @ 42 hours = $3,407.96
Trades Assistant / Trainee = $25.6 + 45% (overheads) @ 2 hours = $74.24
Total = $3,482.20
Subcontractors:
Clean up rubbish, fill material from around OTA'C', HLY, OHW &amp; SWN transition station as a result of relocation works = $1,407.00
Total = $1,407.00
Materials:
Additional cable repairs materials (damaged cable by EBERT (cable claimed last month) = $575.32
Digger hire = $1,044.41
Miscellaneous materials = $215.04
Total = $1,834.77
Total = $6,723.97</t>
  </si>
  <si>
    <t>Site service relocation (inside the substation) JUNE
Shifting of existing site services (after June, this code will be utilised for any remaining site service relocation works inside or outside the Substation)
67.5 hours as at june changes - 55 claimed up to May changes = 12.5 hours
Labour:
Project Engineer / Planning Co-ordinator rate = $55.96 + 45% (overheads) @ 12.5 hours = $1,014.28
Electrical fitter rate = $33.85 + 45% (overheads) @ 0 hours = $0.00
Trades Assistant / Trainee = $25.6 + 45% (overheads) @ 0 hours = $0.00
Total = $1,014.28
Subcontractors:
N/A
Materials:
N/A
Total = $1,014.28</t>
  </si>
  <si>
    <t>Clive Tilby's Report dated 16 December 2008 related to the Contact Sewer Pipeline (ODP-PF-582)
Claim as per page 8 for $61,750, 50% of the $123,500 BPC claim and $20,226, 50% of the $40,452 for standing time
Total = $81,976 (excluding TSL margin as per the report)</t>
  </si>
  <si>
    <t xml:space="preserve">Remove Northpower spoil from around Ohinewai Transistion Station and place in fill area, trim, shape and compact. 
Truck - 9hrs @ 95/hr = $855.00
Excavator - 18hrs @ $115.00/hr = $2,070.00
Total = $2,925.00  </t>
  </si>
  <si>
    <t>Install plant mix ramp at entrance to the Otahuhu Substation Control Building (to cover water pipe). 
This was a request from one of the joint site Safety Meetings.
Labour - 4hrs @ $37/hr = $148.00
Plantmix (pre bagged) - 8 @ $86.90/ea = $695.20
Total = $843.20</t>
  </si>
  <si>
    <t>ODP-PF-893: Diverse Comms Fibre Duct into the GIS Building
Installation of a 50mm comms fibre duct from the Tower 1D (Tower 3A) fibre pit into the GIS Building. Price also includes permanenet drainage works to remove surface water which was filling up the fibre pit. 
TSL Infrstructure cost to install the duct and draw wire = $5,369.00
Cost of trace wire (100m of 6mm green earth wire) = $252.79</t>
  </si>
  <si>
    <t xml:space="preserve">Clean out debris from Stormfilter next to Hendn Transition Station and install new media </t>
  </si>
  <si>
    <t>TP Stores Otahu B Train Access - construct truck access from Benmore shed to Henderson Transition Station</t>
  </si>
  <si>
    <t>Close down fill area for winter period as per ARC requirements</t>
  </si>
  <si>
    <t>Relocation of services July/August</t>
  </si>
  <si>
    <t xml:space="preserve"> Removal of lights and aerials and other fittings to enable installation of the internal gutter., Benmore shed</t>
  </si>
  <si>
    <t xml:space="preserve">
ODP-PF-894: HEN Transition Station Ducts from lean to for lighting supply - to run cable through Benmore Shed. 
Lean-to at high level then drop down at northern end and run through conduits to Henderson Transition Station termination tower. 
Design and fabricate mounting brackets for lights, design and manufacture brackets to mount conduit to towers, erect lights on towers,
design and fabricate electrical supply box and commission the same trench, slab and backfill electrical trenches for lighting supply.
</t>
  </si>
  <si>
    <t>Construct stormwater connections to Benmore Shed</t>
  </si>
  <si>
    <t>Remove concrete at rear of entrance of Transpower Warehouse, fill up lip from the new concrete with metal to ensure area is suitable for forklift use</t>
  </si>
  <si>
    <t xml:space="preserve">Construct footpath along Gridco/Hellaby's Rd as requested from Co-ordinated Safety Meetings (western side of road adjacent to Diversity Project new GIS/AIS yard). 
</t>
  </si>
  <si>
    <t>Surveying work of inside corner points of all transition stations</t>
  </si>
  <si>
    <t>GIS Building Access Road Topo Surveying work as requested by G Wright 6 Aug 2009</t>
  </si>
  <si>
    <t xml:space="preserve">Additional ducts were requested in the trench excavation for earthstraps in Technical Meeting Number 63, 16/6/09. (Item 3C) 
Excavation of trenches for earthstraps and spare ducts across Substation Road to the switchyard fence, </t>
  </si>
  <si>
    <t xml:space="preserve">Benmore Shed Stormwater connections work as requested at the Technical Meeting on 5 May &amp; 23 June.
Note - additional costs from United Engineering to come for additional downwater pipes etc </t>
  </si>
  <si>
    <t xml:space="preserve">To prepare access for Transpower Stores Staff to load and unload insulators near the 
rear storage gate at Sparky's Road. </t>
  </si>
  <si>
    <t xml:space="preserve">To undertake changes to the Benmore Shed Lean to cladding and roofing installations following operational handover to Transpower by TSL
Subcontractor (United Engineering). This variation covers site visits by TSL PM for changes to the gutter brackets, rainheads plus capping on extended bund wall plus supply of operator to operate knuckle boom for Aecom Engineer inspection
</t>
  </si>
  <si>
    <t>Tunnel &amp; Civil variation for the additional bund wall grid A bay 5-6 (Benmore Shed)
Total = $774.17</t>
  </si>
  <si>
    <t>MP 375, TP66490, installation of GIS wastewater from manhole.
There is a previously approved rate and scope refinement for the construction of stormwater lines from 1.5m deep to 2.4m deep, which include hardfill backfill, and preparation of 'As Built' drawings. Item 2.14.18 (Installation of 225mm concrete pipes between 1.5m and 2.5m - based on a 600mm wide trench) the rate for this is $235.00/m. The new wastewater line that was installed was 100mm PVC pipe, varying in depth from 2.2m to 1.8m. The pipe was installed in a 600mm wide trench to ensure stability, safety of the trench, and to provide room for the drainlayer to move and lay the pipe. The length installed was 49m @ $235.00/m = $11,515.00 (based on 225D pipe - deduct the cost of a 225mm class Z concrete pipe, -49m @ $38.20/m = $-1,871.80, and replace with the cost of a 100mm SN16 PVC Sewer pipe, 49m @ $21.60/m = $1,058.40. Cost to install pipe and hardfill is $10,701.60. 
The previously approved rates were based on cut to fill of the excavated material. As the on site tip area has been closed for the winter period, additional costs were incurred with the excvated material taken to an offsite tip, where tipfees were charged. The additional cost for the offsite tip fees for 8 loads @ $102.00/load = $816.00. The additional time for a truck to remove surplus material to an off site tip, compared to tipping on site is, 6hrs @ $95.00 = $570.00,  
Total price is $12,087.60</t>
  </si>
  <si>
    <t>Shifting of site services - not yet invoiced. Identified during reconcilliation activities.
Sep/Oct/Nov/Dec
72 hours claimed for July/August - 153.50 hours to date = 81.50hours
Labour:
Project Engineer / Planning Co-ordinator rate = $55.96 + 45% (overheads) @ 43 hours = $3,489.11
Electrical fitter rate = $33.85 + 45% (overheads) @ 32 hours = $1,570.64
Electrical fitter rate (T1 1/2) = $42.75 + 45% (overheads) @ 6.5 hours = $402.92
Materials:
Light Bulbs (for the basement lights) $187.28
Subcontractors:
Control room clean out $224.70
Indirects:
Digger hire $1,071.68
Barrier hire (Substation Road continued - PO21110973 $3,433.42 already claimed) $1,799.40
Barrier hire (PO21113011 &amp; 21113037) $2,088.81
Total = $10,834.54</t>
  </si>
  <si>
    <t>Refer to ODP-PF-975
To install approx 100m (twin level) of 300mm Nema Trunking in the C&amp;I trench between the 'platform' and C&amp;I trenches interconnecting the AIS with RCN and Existing Control Room. 
Tray/Ladder installation to the same criteria as as installed by TSL on the Areva C&amp; I section of the same trench [plafform into GIS relay room basement].</t>
  </si>
  <si>
    <t>As per ODP-PF-992 &amp; ODP-PF-229 a request during a safety walk-around a request was made to cover the centre drain on the traverser track. Tunnel &amp; Civil (through TSL) submitted a price to install metal grating. This price was rejected initially by Transpower with a cheaper option request. A cheaper proposal was submitted and accepted. 19mm Plywood was placed over the drain. Due to heavy traffic movements the plywood deteriorated and became a hazard itself. A further request was made to remove the temp plywood replacing it with webforge grating. This variation covers temporary and permanent installation.</t>
  </si>
  <si>
    <t xml:space="preserve">Benmore Shed lean-to additional roller door connections
To run cable through new Benmore shed lean-to at high level then drop down at Northern Corner [NNE &amp; NE] between GL 10 &amp; 11 on GL A and GL A &amp; B on GL 11 for additional roller door controllers. Includes supply of isolator and raise / lower electrical box however excludes supply of limit switches as these were supplied by United Engineering. Variation covers wiring to and connection of 2 additional roller doors [ refer TP  64649 rev 1  issued for construction 30th March 2009] setting of limit switches plus supply of associated electrical equipment.  </t>
  </si>
  <si>
    <t>Supply staff &amp; Hiab to install medium silt filters as instructed
Following an Inspection by AECOM prior to the ARC inspection it was identified that due to the earlier than planned use the sand filters required additional medium installed. TSL Infrastructure have already claimed for the medium [ref 18353] however TSL Electrical services omitted to submit our claim for staff and equipment whom assisted with the loading and filling of the medium. This variation is for supply of staff plus a truck mounted crane [Palfinger] to uplift and offload the medium through the MH covers of the sand filters.</t>
  </si>
  <si>
    <t>Changes required to C &amp; I cabling associated with CB528
It was identified during installation of the C&amp;I cabling that 2 cables on the cable schedule [5202 &amp; 5201] designated to be re-routed on the applicable cable schedule could not be as they were direct buried. This variation covers the supply and installation of 4 core PVC / SWA / PVC 2.5 mm cables 5202 &amp; 5201.</t>
  </si>
  <si>
    <t>VO17 as per Clive Tilby's report as agreed under ODP-FP-685
Total = $45,393.00</t>
  </si>
  <si>
    <t>ODP-FP-810 Re prep. OHW and HLY trasition stations in preparation for receiving Transpower isolation chip (TPCR40) undertaken on Wednesday 21/04/2010 and Thursday 22/04/10. Excavator 8hrs @ $95.00/hr = $760.00, Loader 6hrs @ $95.00/hr = $570.00, Labour 15hrs @ $34.00/hr = $510.00, additional establishment of equipment $280.00.
Total cost = $2,120.00</t>
  </si>
  <si>
    <t xml:space="preserve">Scope refinement for increased material costs for TPCR40 crushed aggregate (isolation chip) for OHW and HLY transition stations. The original price of the material was $40.73/m3, current price of material is $42.76/m3, cost increase of material = $2.03/m3. Therefore 512m2 + 519m2 = 1031m2 x 150mm (material thickness) = 154.65m3
Also, there was an additional 12m2 of isolation chip for HLY (schedule item 2.10.3) and 19m2 for OHW (schedule item 2.11.3) @ 12/m2. Original measurements were 500m2 for each Transition Station. An EO of 31m3 @ $12/m2 is being claimed. </t>
  </si>
  <si>
    <t>ODP-FP-782 costs associated with additional establishment for GIS building hotmix, which was abandoned
Labour 4 x 5hrs = 20hr @ $34.00/hr = $680.00, Civil Supervisor 2hrs @ $68.00/hr = $136.00, Surveyor 2hrs @ $135.00/hr = $270.00, Transporter 3hrs @ $130.00 = $390.00
Total cost = $1,476.00</t>
  </si>
  <si>
    <t>GIS Building concrete driveway, additional drainage and watermain</t>
  </si>
  <si>
    <t xml:space="preserve"> Strip chip from GIS channel and stockpile at CAP BANKS.</t>
  </si>
  <si>
    <t xml:space="preserve"> Place Transpower chip in Cap Bank Area</t>
  </si>
  <si>
    <t>Supply and install 200mm diameter PVC pipe beneath GIS channel</t>
  </si>
  <si>
    <t>GIS Driveway including subsoil drain $3147.78, cut down nib wall $1759.29, cut down sewer $640.85, cut to waste $19,124.98, supply isolation chip $5,780.09, construct subbase $32,950.18, construct base course $29,506.84, install concrete entrance $4,188.97, hot mix $26,694.36, new kerbing $10,038.39 and line marking $561.75.</t>
  </si>
  <si>
    <t>AIS driveway - additional work on Gridco road</t>
  </si>
  <si>
    <t>Tunnel &amp; Civil's cost to fit temp gutter and downpipe at GIS Building to ensure that the new concrete driveway was not damaged.</t>
  </si>
  <si>
    <t xml:space="preserve">ODP-PA-770: Transpower requested that the entire site be "tidied up" prior to the official opening on 19 August 2010. This cost was to be borne by both Transpower and Eberts. This variation covers supplying labour hire personnel, own forces, hired equipment (wheelbarrows), dumping of rubbish and subcontractor costs.  
Item also includes the following: Main AIS1 entrance - additional concrete crossing for carpark by existing security gate (used by John Key to park his car) plus level carpark and tidy up and add additional GAP40 layer
Grounds maintenance work by Infrastructure to tidy up substation which included placing haybales and general topsoil on pasture along Gridco Road </t>
  </si>
  <si>
    <t>Transpower requested that the temporary plug placed in the sand filter inlet be removed to alow operation of the filters now construction activities have been completed.</t>
  </si>
  <si>
    <t>Cover GIS driveway with polythene to protect against rain damage prior to sealing and cement stabilisation of basecourse metal prior to sealing</t>
  </si>
  <si>
    <t>Gridco Road - new kerb and nib installed, concrete footpath, fencing post and mowing strip, concrete collars to cesspit and service lid.</t>
  </si>
  <si>
    <t>Supply and place Transpower chip to GIS channel</t>
  </si>
  <si>
    <t>Supply and place insulation chip in 1m strip outside GIS switchyard fence</t>
  </si>
  <si>
    <t>Supply potable water supply to GIS building</t>
  </si>
  <si>
    <t>Overspend Category/Subcategory Summary $k</t>
  </si>
  <si>
    <t>Stormwater Drainage Subtotal (A-S)</t>
  </si>
  <si>
    <t>Wastewater Drainage Subtotal (A-W)</t>
  </si>
  <si>
    <t>Underground Services Relocation Subtotal (A-U)</t>
  </si>
  <si>
    <t>Warehouse Building Relocation (Subtotal A-B)</t>
  </si>
  <si>
    <t>Earthworks and General (Subtotal A-E)</t>
  </si>
  <si>
    <t>Earthworks Civil General Subtotal (A)</t>
  </si>
  <si>
    <t>220 Kv Tower Piled Foundations and Installation (B-F)</t>
  </si>
  <si>
    <t>Other Transmission Line Deviation (B-O)</t>
  </si>
  <si>
    <t>Transmission Line Deviations Subtotal (B)</t>
  </si>
  <si>
    <t>CWK_-___-1-</t>
  </si>
  <si>
    <t>CWK_-___-2-</t>
  </si>
  <si>
    <t>CWK_-___-4-____</t>
  </si>
  <si>
    <t>Sub-category</t>
  </si>
  <si>
    <t>Inflation from pricebook date to midpoint of project spend</t>
  </si>
  <si>
    <t>Otahuhu Original breakdown per PAD</t>
  </si>
  <si>
    <t>Category</t>
  </si>
  <si>
    <t>Date</t>
  </si>
  <si>
    <t>Description/Project Status</t>
  </si>
  <si>
    <t>Amount</t>
  </si>
  <si>
    <t xml:space="preserve">Variance to PAD[1] </t>
  </si>
  <si>
    <t>GUP P90</t>
  </si>
  <si>
    <t>$99m</t>
  </si>
  <si>
    <t>-</t>
  </si>
  <si>
    <t>Enabling design and construction contracts awarded</t>
  </si>
  <si>
    <t>All major contracts awarded.  Project 21% complete.  Re-estimate for Board submission for additional funding</t>
  </si>
  <si>
    <t>Final Cost</t>
  </si>
  <si>
    <t>CHECKS</t>
  </si>
  <si>
    <t>Overspend Category/</t>
  </si>
  <si>
    <t>Adjustment to PAD Estimate</t>
  </si>
  <si>
    <t>Adjusted PAD[1]  2009 $</t>
  </si>
  <si>
    <t>Variance to PAD</t>
  </si>
  <si>
    <t>PAD Budget</t>
  </si>
  <si>
    <t>Main design and construction contracts for civil site works award</t>
  </si>
  <si>
    <t>Construction underway – re-estimate for Board submission for additional funding</t>
  </si>
  <si>
    <t>Table 7: Subcategories of Enabling Works Civil General</t>
  </si>
  <si>
    <t xml:space="preserve">Total </t>
  </si>
  <si>
    <t>Enabling design and construction contracts for civil site works awarded</t>
  </si>
  <si>
    <t>Design contracts awarded – re-estimate for Board submission for additional funding</t>
  </si>
  <si>
    <t>Construction contract awarded</t>
  </si>
  <si>
    <t>Construction commenced – re-estimate for Board submission for additional funding</t>
  </si>
  <si>
    <t>$3.9m</t>
  </si>
  <si>
    <t>Re-estimate for Board submission for additional funding</t>
  </si>
  <si>
    <t>Otahuhu Substation Diversity Project: Application for Increase in Major Capex Allowance</t>
  </si>
  <si>
    <t>This includes the complete Transpower work break down structure.</t>
  </si>
  <si>
    <t>Forecast 
12/07</t>
  </si>
  <si>
    <t>Forecast 
10/08</t>
  </si>
  <si>
    <t>Application of Work Package to Overspend Category Map - PAD Budget</t>
  </si>
  <si>
    <t>Work Package to Overspend Category Map - PAD Budget</t>
  </si>
  <si>
    <t>PAD Budget assigned to Categories used for Application</t>
  </si>
  <si>
    <t>Adjusted PM Share for Actuals</t>
  </si>
  <si>
    <t>Actual Spend assigned to Categories used for Application</t>
  </si>
  <si>
    <t xml:space="preserve">MATRIX ASSIGNING COSTS to categories used for Application: with adjustments for Actual Spend distribution </t>
  </si>
  <si>
    <t>Summary Table for PAD versus Forecast Spend Dec 2007</t>
  </si>
  <si>
    <t>Summary Table for PAD versus Forecast Spend Oct 2008</t>
  </si>
  <si>
    <t>Otahuhu Overspend - Matrix assigning costs from original PAD structure to categories used for Application</t>
  </si>
  <si>
    <t>Tracked over time: forecasts and actuals versus PAD budget</t>
  </si>
  <si>
    <t xml:space="preserve">Otahuhu Overspend - PAD Budget </t>
  </si>
  <si>
    <t>This is a formatted and transposed version of the worksheet "UR-Summary PAD"</t>
  </si>
  <si>
    <t>Otahuhu 220 kV diversity - extract from PAD estimate workbook</t>
  </si>
  <si>
    <t>Otahuhu 220 kV diversity - extract of from PAD estimate workbook</t>
  </si>
  <si>
    <t>MATRIX ASSIGNING COSTS from PAD to categories used for Application</t>
  </si>
  <si>
    <t>Summary Table for PAD versus Actual Spend by Categories used for Application</t>
  </si>
  <si>
    <t>From PAD workbook: Enabling Works OTA - PEN C</t>
  </si>
  <si>
    <t>From PAD workbook: General Civil works (Enabling Works)</t>
  </si>
  <si>
    <t>Check</t>
  </si>
  <si>
    <t>40_30 Vector Cable Relocation &amp; LS Supply</t>
  </si>
  <si>
    <t>Item not included in extract</t>
  </si>
  <si>
    <t>Total Earthworks and Transmission Line Deviation</t>
  </si>
  <si>
    <t>Summary Sheet</t>
  </si>
  <si>
    <t>Actual Breakdown</t>
  </si>
  <si>
    <t>Cost Assignment</t>
  </si>
  <si>
    <t>TOTALS</t>
  </si>
  <si>
    <t>%</t>
  </si>
  <si>
    <t>Worksheet name</t>
  </si>
  <si>
    <t>This model supports the Otahuhu application for increase in major capex allowance</t>
  </si>
  <si>
    <t>The purpose of this model is to align the PAD budget and Actual spend to allow comparison and understand the drivers for overspend</t>
  </si>
  <si>
    <t>PAD Budget showing original breakdown</t>
  </si>
  <si>
    <t>Comparison of PAD Budget and Actual Spend in aligned Categories and Subcategories</t>
  </si>
  <si>
    <t>Table 3.1: PAD budget as compared with actual expenditure (NZ $m)</t>
  </si>
  <si>
    <t>Table 5.2: Project cost history</t>
  </si>
  <si>
    <t>Table 5.3: PAD budget vs. actual expenditure (NZ $m)</t>
  </si>
  <si>
    <t>Table 6.3: Transmission Line Deviations</t>
  </si>
  <si>
    <t>Table 6.2: Enabling Works Civil General</t>
  </si>
  <si>
    <t>Table 6.4: Enabling works secondary systems – design and build</t>
  </si>
  <si>
    <t>Table 6.5: Enabling works station and cable termination</t>
  </si>
  <si>
    <t>Table 6.6: Subcategories of the enabling works station and cable termination</t>
  </si>
  <si>
    <r>
      <t>Table 6.7</t>
    </r>
    <r>
      <rPr>
        <sz val="11"/>
        <color indexed="8"/>
        <rFont val="Arial"/>
        <family val="2"/>
      </rPr>
      <t>:</t>
    </r>
    <r>
      <rPr>
        <b/>
        <sz val="10"/>
        <color indexed="8"/>
        <rFont val="Arial"/>
        <family val="2"/>
      </rPr>
      <t xml:space="preserve"> Cost history for Design/Build contract for GIS/AIS substation and 220 kV cabling</t>
    </r>
    <r>
      <rPr>
        <b/>
        <sz val="11"/>
        <color indexed="8"/>
        <rFont val="Arial"/>
        <family val="2"/>
      </rPr>
      <t xml:space="preserve"> </t>
    </r>
  </si>
  <si>
    <t>Source: Transfield records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</si>
</sst>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 numFmtId="168" formatCode="_-* #,##0_-;\-* #,##0_-;_-* &quot;-&quot;??_-;_-@_-"/>
    <numFmt numFmtId="169" formatCode="0.0"/>
    <numFmt numFmtId="170" formatCode="0.0%"/>
    <numFmt numFmtId="171" formatCode="_-&quot;$&quot;* #,##0_-;\-&quot;$&quot;* #,##0_-;_-&quot;$&quot;* &quot;-&quot;??_-;_-@_-"/>
    <numFmt numFmtId="172" formatCode="&quot;max of&quot;\ &quot;$&quot;#,##0;[Red]\(&quot;$&quot;#,##0\)"/>
    <numFmt numFmtId="173" formatCode="&quot;max&quot;\ &quot;$&quot;#,##0;[Red]\(&quot;$&quot;#,##0\)"/>
    <numFmt numFmtId="174" formatCode="&quot;check value  $&quot;\ #,##0.00"/>
    <numFmt numFmtId="175" formatCode="&quot;$&quot;#,##0.00"/>
    <numFmt numFmtId="176" formatCode="&quot;$&quot;#,##0"/>
    <numFmt numFmtId="177" formatCode="&quot;$&quot;#,##0.0&quot;m&quot;"/>
    <numFmt numFmtId="178" formatCode="&quot;$&quot;#,##0.0,&quot;m&quot;"/>
    <numFmt numFmtId="179" formatCode="_-* #,##0.000_-;\-* #,##0.000_-;_-* &quot;-&quot;??_-;_-@_-"/>
    <numFmt numFmtId="180" formatCode="#,##0.0000"/>
  </numFmts>
  <fonts count="78">
    <font>
      <sz val="10"/>
      <name val="Arial"/>
      <family val="2"/>
    </font>
    <font>
      <sz val="11"/>
      <color indexed="8"/>
      <name val="Calibri"/>
      <family val="2"/>
    </font>
    <font>
      <sz val="8"/>
      <name val="Arial"/>
      <family val="2"/>
    </font>
    <font>
      <b/>
      <sz val="8"/>
      <name val="Arial"/>
      <family val="2"/>
    </font>
    <font>
      <b/>
      <sz val="9"/>
      <name val="Arial"/>
      <family val="2"/>
    </font>
    <font>
      <b/>
      <sz val="10"/>
      <name val="Arial"/>
      <family val="2"/>
    </font>
    <font>
      <i/>
      <sz val="8"/>
      <name val="Arial"/>
      <family val="2"/>
    </font>
    <font>
      <b/>
      <sz val="8"/>
      <name val="Tahoma"/>
      <family val="2"/>
    </font>
    <font>
      <sz val="8"/>
      <name val="Tahoma"/>
      <family val="2"/>
    </font>
    <font>
      <b/>
      <sz val="12"/>
      <name val="Arial"/>
      <family val="2"/>
    </font>
    <font>
      <u val="single"/>
      <sz val="10"/>
      <color indexed="12"/>
      <name val="Arial"/>
      <family val="2"/>
    </font>
    <font>
      <sz val="10"/>
      <color indexed="12"/>
      <name val="Arial"/>
      <family val="2"/>
    </font>
    <font>
      <sz val="10"/>
      <name val="MS Sans Serif"/>
      <family val="2"/>
    </font>
    <font>
      <sz val="9"/>
      <name val="Arial"/>
      <family val="2"/>
    </font>
    <font>
      <i/>
      <sz val="10"/>
      <name val="Arial"/>
      <family val="2"/>
    </font>
    <font>
      <b/>
      <sz val="10"/>
      <color indexed="8"/>
      <name val="Arial"/>
      <family val="2"/>
    </font>
    <font>
      <sz val="10"/>
      <color indexed="10"/>
      <name val="Arial"/>
      <family val="2"/>
    </font>
    <font>
      <sz val="10"/>
      <color indexed="8"/>
      <name val="Arial"/>
      <family val="2"/>
    </font>
    <font>
      <b/>
      <sz val="10"/>
      <color indexed="12"/>
      <name val="Arial"/>
      <family val="2"/>
    </font>
    <font>
      <b/>
      <sz val="10"/>
      <color indexed="10"/>
      <name val="Arial"/>
      <family val="2"/>
    </font>
    <font>
      <sz val="10"/>
      <color indexed="23"/>
      <name val="Arial"/>
      <family val="2"/>
    </font>
    <font>
      <b/>
      <sz val="8"/>
      <color indexed="10"/>
      <name val="Tahoma"/>
      <family val="2"/>
    </font>
    <font>
      <sz val="12"/>
      <name val="Arial"/>
      <family val="2"/>
    </font>
    <font>
      <b/>
      <sz val="12"/>
      <color indexed="10"/>
      <name val="Arial"/>
      <family val="2"/>
    </font>
    <font>
      <sz val="12"/>
      <color indexed="10"/>
      <name val="Arial"/>
      <family val="2"/>
    </font>
    <font>
      <sz val="12"/>
      <color indexed="12"/>
      <name val="Arial"/>
      <family val="2"/>
    </font>
    <font>
      <sz val="12"/>
      <name val="Tahoma"/>
      <family val="2"/>
    </font>
    <font>
      <sz val="12"/>
      <color indexed="8"/>
      <name val="Arial"/>
      <family val="2"/>
    </font>
    <font>
      <sz val="11"/>
      <name val="Arial"/>
      <family val="2"/>
    </font>
    <font>
      <b/>
      <sz val="11"/>
      <name val="Arial"/>
      <family val="2"/>
    </font>
    <font>
      <b/>
      <sz val="8"/>
      <color indexed="10"/>
      <name val="Arial"/>
      <family val="2"/>
    </font>
    <font>
      <b/>
      <sz val="11"/>
      <color indexed="8"/>
      <name val="Arial"/>
      <family val="2"/>
    </font>
    <font>
      <sz val="11"/>
      <color indexed="8"/>
      <name val="Arial"/>
      <family val="2"/>
    </font>
    <font>
      <sz val="14"/>
      <color indexed="40"/>
      <name val="Arial"/>
      <family val="2"/>
    </font>
    <font>
      <sz val="10"/>
      <name val="Tahoma"/>
      <family val="2"/>
    </font>
    <font>
      <b/>
      <sz val="10"/>
      <name val="Tahoma"/>
      <family val="2"/>
    </font>
    <font>
      <b/>
      <i/>
      <sz val="8"/>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8"/>
      <name val="Calibri"/>
      <family val="0"/>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181512"/>
      <name val="Arial"/>
      <family val="2"/>
    </font>
    <font>
      <sz val="14"/>
      <color rgb="FF00AEEF"/>
      <name val="Arial"/>
      <family val="2"/>
    </font>
    <font>
      <b/>
      <sz val="8"/>
      <color rgb="FFFF0000"/>
      <name val="Arial"/>
      <family val="2"/>
    </font>
    <font>
      <b/>
      <i/>
      <sz val="8"/>
      <color rgb="FFFF0000"/>
      <name val="Arial"/>
      <family val="2"/>
    </font>
    <font>
      <i/>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3"/>
        <bgColor indexed="64"/>
      </patternFill>
    </fill>
    <fill>
      <patternFill patternType="mediumGray">
        <fgColor indexed="34"/>
      </patternFill>
    </fill>
    <fill>
      <patternFill patternType="lightGray">
        <fgColor indexed="44"/>
      </patternFill>
    </fill>
    <fill>
      <patternFill patternType="mediumGray">
        <fgColor indexed="42"/>
      </patternFill>
    </fill>
    <fill>
      <patternFill patternType="mediumGray">
        <fgColor indexed="42"/>
        <bgColor indexed="41"/>
      </patternFill>
    </fill>
    <fill>
      <patternFill patternType="lightGray">
        <fgColor indexed="44"/>
        <bgColor indexed="41"/>
      </patternFill>
    </fill>
    <fill>
      <patternFill patternType="mediumGray">
        <fgColor indexed="34"/>
        <bgColor indexed="42"/>
      </patternFill>
    </fill>
    <fill>
      <patternFill patternType="mediumGray">
        <fgColor indexed="27"/>
      </patternFill>
    </fill>
    <fill>
      <patternFill patternType="lightGray">
        <fgColor indexed="47"/>
      </patternFill>
    </fill>
    <fill>
      <patternFill patternType="lightGray">
        <fgColor indexed="46"/>
      </patternFill>
    </fill>
    <fill>
      <patternFill patternType="mediumGray">
        <fgColor indexed="47"/>
        <bgColor indexed="22"/>
      </patternFill>
    </fill>
    <fill>
      <patternFill patternType="gray0625">
        <bgColor indexed="9"/>
      </patternFill>
    </fill>
    <fill>
      <patternFill patternType="solid">
        <fgColor indexed="26"/>
        <bgColor indexed="64"/>
      </patternFill>
    </fill>
    <fill>
      <patternFill patternType="solid">
        <fgColor indexed="10"/>
        <bgColor indexed="64"/>
      </patternFill>
    </fill>
    <fill>
      <patternFill patternType="lightGray">
        <fgColor indexed="42"/>
      </patternFill>
    </fill>
    <fill>
      <patternFill patternType="solid">
        <fgColor rgb="FFE1F4FD"/>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style="thin"/>
      <top/>
      <bottom style="thin"/>
    </border>
    <border>
      <left style="thin"/>
      <right style="thin"/>
      <top style="thin"/>
      <bottom style="thin"/>
    </border>
    <border>
      <left/>
      <right/>
      <top style="double"/>
      <bottom/>
    </border>
    <border>
      <left/>
      <right/>
      <top style="thin"/>
      <bottom style="double"/>
    </border>
    <border>
      <left/>
      <right/>
      <top/>
      <bottom style="double"/>
    </border>
    <border>
      <left/>
      <right style="double"/>
      <top/>
      <bottom/>
    </border>
    <border>
      <left style="double"/>
      <right/>
      <top style="double"/>
      <bottom/>
    </border>
    <border>
      <left/>
      <right style="double"/>
      <top style="double"/>
      <bottom/>
    </border>
    <border>
      <left style="double"/>
      <right/>
      <top/>
      <bottom/>
    </border>
    <border>
      <left/>
      <right style="thin"/>
      <top style="double"/>
      <bottom/>
    </border>
    <border>
      <left/>
      <right style="double">
        <color indexed="10"/>
      </right>
      <top style="double"/>
      <bottom/>
    </border>
    <border>
      <left style="double">
        <color indexed="10"/>
      </left>
      <right style="double">
        <color indexed="10"/>
      </right>
      <top style="double"/>
      <bottom/>
    </border>
    <border>
      <left/>
      <right style="thin"/>
      <top/>
      <bottom/>
    </border>
    <border>
      <left/>
      <right style="double">
        <color indexed="10"/>
      </right>
      <top/>
      <bottom/>
    </border>
    <border>
      <left style="double">
        <color indexed="10"/>
      </left>
      <right style="double">
        <color indexed="10"/>
      </right>
      <top/>
      <bottom/>
    </border>
    <border>
      <left/>
      <right/>
      <top style="medium"/>
      <bottom/>
    </border>
    <border>
      <left/>
      <right style="thin"/>
      <top style="medium"/>
      <bottom/>
    </border>
    <border>
      <left style="double"/>
      <right/>
      <top style="medium"/>
      <bottom/>
    </border>
    <border>
      <left/>
      <right style="double">
        <color indexed="10"/>
      </right>
      <top style="medium"/>
      <bottom/>
    </border>
    <border>
      <left style="double">
        <color indexed="10"/>
      </left>
      <right style="double">
        <color indexed="10"/>
      </right>
      <top style="medium"/>
      <bottom/>
    </border>
    <border>
      <left/>
      <right style="thin"/>
      <top/>
      <bottom style="medium"/>
    </border>
    <border>
      <left/>
      <right/>
      <top/>
      <bottom style="medium"/>
    </border>
    <border>
      <left style="double"/>
      <right/>
      <top/>
      <bottom style="medium"/>
    </border>
    <border>
      <left/>
      <right style="double">
        <color indexed="10"/>
      </right>
      <top/>
      <bottom style="medium"/>
    </border>
    <border>
      <left style="double">
        <color indexed="10"/>
      </left>
      <right style="double">
        <color indexed="10"/>
      </right>
      <top/>
      <bottom style="medium"/>
    </border>
    <border>
      <left style="double"/>
      <right/>
      <top/>
      <bottom style="double"/>
    </border>
    <border>
      <left/>
      <right style="thin"/>
      <top/>
      <bottom style="double"/>
    </border>
    <border>
      <left/>
      <right/>
      <top style="medium"/>
      <bottom style="double"/>
    </border>
    <border>
      <left/>
      <right style="double"/>
      <top/>
      <bottom style="double"/>
    </border>
    <border>
      <left style="hair"/>
      <right style="hair"/>
      <top/>
      <bottom style="hair"/>
    </border>
    <border>
      <left style="hair"/>
      <right style="hair"/>
      <top style="double"/>
      <bottom/>
    </border>
    <border>
      <left style="hair"/>
      <right style="double"/>
      <top style="double"/>
      <bottom/>
    </border>
    <border>
      <left style="hair"/>
      <right style="hair"/>
      <top style="hair"/>
      <bottom style="hair"/>
    </border>
    <border>
      <left style="hair"/>
      <right style="double"/>
      <top style="hair"/>
      <bottom style="hair"/>
    </border>
    <border>
      <left/>
      <right/>
      <top style="hair"/>
      <bottom style="hair"/>
    </border>
    <border>
      <left style="hair"/>
      <right style="hair"/>
      <top style="hair"/>
      <bottom/>
    </border>
    <border>
      <left style="hair"/>
      <right/>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36">
    <xf numFmtId="0" fontId="0" fillId="0" borderId="0" xfId="0" applyAlignment="1">
      <alignment/>
    </xf>
    <xf numFmtId="0" fontId="2" fillId="33" borderId="10"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2" fillId="0" borderId="13" xfId="0" applyFont="1" applyBorder="1" applyAlignment="1">
      <alignment/>
    </xf>
    <xf numFmtId="0" fontId="3" fillId="0" borderId="14" xfId="0" applyFont="1" applyBorder="1" applyAlignment="1">
      <alignment wrapText="1"/>
    </xf>
    <xf numFmtId="0" fontId="3" fillId="0" borderId="14" xfId="0" applyFont="1" applyBorder="1" applyAlignment="1">
      <alignment horizontal="center" wrapText="1"/>
    </xf>
    <xf numFmtId="0" fontId="0" fillId="0" borderId="15" xfId="0" applyBorder="1" applyAlignment="1">
      <alignment/>
    </xf>
    <xf numFmtId="0" fontId="3" fillId="33" borderId="16" xfId="0" applyFont="1" applyFill="1" applyBorder="1" applyAlignment="1">
      <alignment horizontal="center"/>
    </xf>
    <xf numFmtId="0" fontId="3" fillId="33" borderId="17" xfId="0" applyFont="1" applyFill="1" applyBorder="1" applyAlignment="1">
      <alignment/>
    </xf>
    <xf numFmtId="167" fontId="3" fillId="33" borderId="18" xfId="0" applyNumberFormat="1" applyFont="1" applyFill="1" applyBorder="1" applyAlignment="1">
      <alignment horizontal="center"/>
    </xf>
    <xf numFmtId="0" fontId="2" fillId="0" borderId="12" xfId="0" applyFont="1" applyBorder="1" applyAlignment="1">
      <alignment horizontal="center"/>
    </xf>
    <xf numFmtId="0" fontId="2" fillId="0" borderId="15" xfId="0" applyFont="1" applyBorder="1" applyAlignment="1">
      <alignment/>
    </xf>
    <xf numFmtId="167" fontId="2" fillId="0" borderId="19" xfId="0" applyNumberFormat="1"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xf>
    <xf numFmtId="0" fontId="2" fillId="33" borderId="16" xfId="0" applyFont="1" applyFill="1" applyBorder="1" applyAlignment="1">
      <alignment horizontal="center"/>
    </xf>
    <xf numFmtId="0" fontId="3" fillId="33" borderId="15" xfId="0" applyFont="1" applyFill="1" applyBorder="1" applyAlignment="1">
      <alignment/>
    </xf>
    <xf numFmtId="167" fontId="3" fillId="33" borderId="19" xfId="0" applyNumberFormat="1" applyFont="1" applyFill="1" applyBorder="1" applyAlignment="1">
      <alignment horizontal="center"/>
    </xf>
    <xf numFmtId="0" fontId="3" fillId="33" borderId="18" xfId="0" applyFont="1" applyFill="1" applyBorder="1" applyAlignment="1">
      <alignment horizontal="center"/>
    </xf>
    <xf numFmtId="0" fontId="2" fillId="0" borderId="19" xfId="0" applyFont="1" applyBorder="1" applyAlignment="1">
      <alignment/>
    </xf>
    <xf numFmtId="0" fontId="3" fillId="33" borderId="12" xfId="0" applyFont="1" applyFill="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3" fillId="33" borderId="19" xfId="0" applyFont="1" applyFill="1" applyBorder="1" applyAlignment="1">
      <alignment horizontal="center"/>
    </xf>
    <xf numFmtId="0" fontId="2" fillId="33" borderId="19" xfId="0" applyFont="1" applyFill="1" applyBorder="1" applyAlignment="1">
      <alignment/>
    </xf>
    <xf numFmtId="0" fontId="4" fillId="33" borderId="15" xfId="0" applyFont="1" applyFill="1" applyBorder="1" applyAlignment="1">
      <alignment/>
    </xf>
    <xf numFmtId="167" fontId="4" fillId="33" borderId="19" xfId="0" applyNumberFormat="1" applyFont="1" applyFill="1" applyBorder="1" applyAlignment="1">
      <alignment horizontal="center"/>
    </xf>
    <xf numFmtId="0" fontId="2" fillId="0" borderId="0" xfId="0" applyFont="1" applyAlignment="1">
      <alignment/>
    </xf>
    <xf numFmtId="0" fontId="3" fillId="0" borderId="0" xfId="0" applyFont="1" applyAlignment="1">
      <alignment/>
    </xf>
    <xf numFmtId="167" fontId="3" fillId="0" borderId="0" xfId="0" applyNumberFormat="1" applyFont="1" applyAlignment="1">
      <alignment horizontal="center"/>
    </xf>
    <xf numFmtId="0" fontId="0" fillId="0" borderId="0" xfId="0" applyAlignment="1">
      <alignment vertical="top" wrapText="1"/>
    </xf>
    <xf numFmtId="168" fontId="0" fillId="0" borderId="0" xfId="42" applyNumberFormat="1" applyFont="1" applyAlignment="1">
      <alignment/>
    </xf>
    <xf numFmtId="15" fontId="0" fillId="34" borderId="0" xfId="0" applyNumberFormat="1" applyFill="1" applyBorder="1" applyAlignment="1">
      <alignment vertical="top" wrapText="1"/>
    </xf>
    <xf numFmtId="0" fontId="0" fillId="35" borderId="0" xfId="0" applyNumberFormat="1" applyFont="1" applyFill="1" applyAlignment="1">
      <alignment vertical="top" wrapText="1"/>
    </xf>
    <xf numFmtId="15" fontId="0" fillId="36" borderId="0" xfId="0" applyNumberFormat="1" applyFill="1" applyBorder="1" applyAlignment="1">
      <alignment vertical="top" wrapText="1"/>
    </xf>
    <xf numFmtId="169" fontId="2" fillId="0" borderId="19" xfId="0" applyNumberFormat="1" applyFont="1" applyBorder="1" applyAlignment="1">
      <alignment horizontal="center"/>
    </xf>
    <xf numFmtId="0" fontId="2" fillId="0" borderId="0" xfId="57" applyFont="1">
      <alignment/>
      <protection/>
    </xf>
    <xf numFmtId="2" fontId="6" fillId="0" borderId="0" xfId="57" applyNumberFormat="1" applyFont="1">
      <alignment/>
      <protection/>
    </xf>
    <xf numFmtId="0" fontId="2" fillId="0" borderId="0" xfId="57" applyFont="1" applyAlignment="1">
      <alignment horizontal="center"/>
      <protection/>
    </xf>
    <xf numFmtId="3" fontId="2" fillId="0" borderId="0" xfId="57" applyNumberFormat="1" applyFont="1">
      <alignment/>
      <protection/>
    </xf>
    <xf numFmtId="0" fontId="3" fillId="0" borderId="0" xfId="57" applyFont="1">
      <alignment/>
      <protection/>
    </xf>
    <xf numFmtId="9" fontId="3" fillId="0" borderId="0" xfId="57" applyNumberFormat="1"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 wrapText="1"/>
      <protection/>
    </xf>
    <xf numFmtId="9" fontId="2" fillId="0" borderId="0" xfId="57" applyNumberFormat="1" applyFont="1" applyAlignment="1">
      <alignment horizontal="center"/>
      <protection/>
    </xf>
    <xf numFmtId="0" fontId="2" fillId="0" borderId="0" xfId="57" applyFont="1" applyAlignment="1">
      <alignment horizontal="left"/>
      <protection/>
    </xf>
    <xf numFmtId="0" fontId="2" fillId="0" borderId="0" xfId="57" applyFont="1" applyAlignment="1">
      <alignment horizontal="right"/>
      <protection/>
    </xf>
    <xf numFmtId="3" fontId="3" fillId="0" borderId="0" xfId="57" applyNumberFormat="1" applyFont="1">
      <alignment/>
      <protection/>
    </xf>
    <xf numFmtId="0" fontId="3" fillId="0" borderId="0" xfId="57" applyFont="1" applyAlignment="1">
      <alignment horizontal="right"/>
      <protection/>
    </xf>
    <xf numFmtId="9" fontId="2" fillId="0" borderId="0" xfId="57" applyNumberFormat="1" applyFont="1">
      <alignment/>
      <protection/>
    </xf>
    <xf numFmtId="0" fontId="2" fillId="0" borderId="0" xfId="57" applyFont="1" applyBorder="1">
      <alignment/>
      <protection/>
    </xf>
    <xf numFmtId="169" fontId="2" fillId="0" borderId="0" xfId="57" applyNumberFormat="1" applyFont="1">
      <alignment/>
      <protection/>
    </xf>
    <xf numFmtId="169" fontId="3" fillId="0" borderId="0" xfId="57" applyNumberFormat="1" applyFont="1" applyAlignment="1">
      <alignment horizontal="center"/>
      <protection/>
    </xf>
    <xf numFmtId="3" fontId="5" fillId="0" borderId="0" xfId="57" applyNumberFormat="1" applyFont="1">
      <alignment/>
      <protection/>
    </xf>
    <xf numFmtId="3" fontId="3" fillId="0" borderId="0" xfId="57" applyNumberFormat="1" applyFont="1" applyAlignment="1">
      <alignment horizontal="right"/>
      <protection/>
    </xf>
    <xf numFmtId="169" fontId="2" fillId="0" borderId="0" xfId="57" applyNumberFormat="1" applyFont="1" applyAlignment="1">
      <alignment horizontal="center"/>
      <protection/>
    </xf>
    <xf numFmtId="3" fontId="2" fillId="0" borderId="0" xfId="57" applyNumberFormat="1" applyFont="1" applyAlignment="1">
      <alignment horizontal="right"/>
      <protection/>
    </xf>
    <xf numFmtId="0" fontId="2" fillId="0" borderId="0" xfId="57" applyFont="1" quotePrefix="1">
      <alignment/>
      <protection/>
    </xf>
    <xf numFmtId="0" fontId="3" fillId="0" borderId="0" xfId="57" applyFont="1" applyAlignment="1" quotePrefix="1">
      <alignment horizontal="right"/>
      <protection/>
    </xf>
    <xf numFmtId="0" fontId="3" fillId="0" borderId="0" xfId="57" applyFont="1" applyAlignment="1">
      <alignment horizontal="right" wrapText="1"/>
      <protection/>
    </xf>
    <xf numFmtId="0" fontId="3" fillId="0" borderId="0" xfId="57" applyFont="1" applyAlignment="1">
      <alignment horizontal="centerContinuous"/>
      <protection/>
    </xf>
    <xf numFmtId="9" fontId="2" fillId="0" borderId="0" xfId="57" applyNumberFormat="1" applyFont="1" applyAlignment="1">
      <alignment horizontal="left"/>
      <protection/>
    </xf>
    <xf numFmtId="17" fontId="2" fillId="0" borderId="0" xfId="0" applyNumberFormat="1" applyFont="1" applyAlignment="1">
      <alignment horizontal="left"/>
    </xf>
    <xf numFmtId="3" fontId="3" fillId="0" borderId="0" xfId="0" applyNumberFormat="1" applyFont="1" applyAlignment="1">
      <alignment/>
    </xf>
    <xf numFmtId="3" fontId="2" fillId="0" borderId="0" xfId="0" applyNumberFormat="1" applyFont="1" applyAlignment="1">
      <alignment/>
    </xf>
    <xf numFmtId="3" fontId="3" fillId="0" borderId="0" xfId="0" applyNumberFormat="1" applyFont="1" applyAlignment="1">
      <alignment horizontal="right"/>
    </xf>
    <xf numFmtId="0" fontId="5" fillId="0" borderId="0" xfId="0" applyFont="1" applyAlignment="1">
      <alignment/>
    </xf>
    <xf numFmtId="3" fontId="2" fillId="0" borderId="0" xfId="0" applyNumberFormat="1" applyFont="1" applyAlignment="1">
      <alignment horizontal="right"/>
    </xf>
    <xf numFmtId="0" fontId="3" fillId="0" borderId="0" xfId="0" applyFont="1" applyAlignment="1">
      <alignment wrapText="1"/>
    </xf>
    <xf numFmtId="0" fontId="9" fillId="35" borderId="0" xfId="0" applyFont="1" applyFill="1" applyAlignment="1">
      <alignment vertical="top" wrapText="1"/>
    </xf>
    <xf numFmtId="0" fontId="9" fillId="0" borderId="0" xfId="0" applyFont="1" applyAlignment="1">
      <alignment vertical="top" wrapText="1"/>
    </xf>
    <xf numFmtId="168" fontId="9" fillId="0" borderId="0" xfId="44" applyNumberFormat="1" applyFont="1" applyAlignment="1">
      <alignment vertical="top" wrapText="1"/>
    </xf>
    <xf numFmtId="0" fontId="5" fillId="0" borderId="0" xfId="0" applyFont="1" applyAlignment="1">
      <alignment vertical="top" wrapText="1"/>
    </xf>
    <xf numFmtId="168" fontId="0" fillId="0" borderId="0" xfId="44" applyNumberFormat="1" applyAlignment="1">
      <alignment/>
    </xf>
    <xf numFmtId="0" fontId="0" fillId="0" borderId="0" xfId="0" applyFont="1" applyAlignment="1">
      <alignment vertical="top" wrapText="1"/>
    </xf>
    <xf numFmtId="168" fontId="0" fillId="0" borderId="0" xfId="44" applyNumberFormat="1" applyFont="1" applyAlignment="1">
      <alignment/>
    </xf>
    <xf numFmtId="166" fontId="11" fillId="36" borderId="0" xfId="53" applyNumberFormat="1" applyFont="1" applyFill="1" applyBorder="1" applyAlignment="1" applyProtection="1">
      <alignment horizontal="center" vertical="top" wrapText="1"/>
      <protection/>
    </xf>
    <xf numFmtId="168" fontId="5" fillId="0" borderId="0" xfId="44" applyNumberFormat="1" applyFont="1" applyBorder="1" applyAlignment="1">
      <alignment horizontal="center" wrapText="1"/>
    </xf>
    <xf numFmtId="166" fontId="5" fillId="0" borderId="0" xfId="44" applyFont="1" applyAlignment="1">
      <alignment vertical="top" wrapText="1"/>
    </xf>
    <xf numFmtId="17" fontId="5" fillId="0" borderId="0" xfId="0" applyNumberFormat="1" applyFont="1" applyAlignment="1">
      <alignment vertical="top" wrapText="1"/>
    </xf>
    <xf numFmtId="0" fontId="0" fillId="37" borderId="0" xfId="0" applyFill="1" applyAlignment="1">
      <alignment vertical="top" wrapText="1"/>
    </xf>
    <xf numFmtId="168" fontId="0" fillId="36" borderId="0" xfId="44" applyNumberFormat="1" applyFill="1" applyBorder="1" applyAlignment="1">
      <alignment/>
    </xf>
    <xf numFmtId="0" fontId="5" fillId="37" borderId="0" xfId="0" applyFont="1" applyFill="1" applyAlignment="1">
      <alignment vertical="top" wrapText="1"/>
    </xf>
    <xf numFmtId="164" fontId="0" fillId="36" borderId="0" xfId="44" applyNumberFormat="1" applyFill="1" applyBorder="1" applyAlignment="1">
      <alignment/>
    </xf>
    <xf numFmtId="4" fontId="5" fillId="0" borderId="0" xfId="0" applyNumberFormat="1" applyFont="1" applyAlignment="1">
      <alignment/>
    </xf>
    <xf numFmtId="4" fontId="0" fillId="0" borderId="0" xfId="0" applyNumberFormat="1" applyAlignment="1">
      <alignment/>
    </xf>
    <xf numFmtId="0" fontId="5" fillId="38" borderId="0" xfId="0" applyFont="1" applyFill="1" applyAlignment="1">
      <alignment vertical="top" wrapText="1"/>
    </xf>
    <xf numFmtId="170" fontId="5" fillId="35" borderId="0" xfId="63" applyNumberFormat="1" applyFont="1" applyFill="1" applyAlignment="1">
      <alignment vertical="top" wrapText="1"/>
    </xf>
    <xf numFmtId="170" fontId="5" fillId="37" borderId="0" xfId="63" applyNumberFormat="1" applyFont="1" applyFill="1" applyAlignment="1">
      <alignment vertical="top" wrapText="1"/>
    </xf>
    <xf numFmtId="0" fontId="5" fillId="0" borderId="0" xfId="0" applyFont="1" applyFill="1" applyAlignment="1">
      <alignment vertical="top" wrapText="1"/>
    </xf>
    <xf numFmtId="168" fontId="0" fillId="0" borderId="0" xfId="44" applyNumberFormat="1" applyFill="1" applyBorder="1" applyAlignment="1">
      <alignment/>
    </xf>
    <xf numFmtId="3" fontId="3" fillId="0" borderId="0" xfId="0" applyNumberFormat="1" applyFont="1" applyAlignment="1">
      <alignment horizontal="center" wrapText="1"/>
    </xf>
    <xf numFmtId="0" fontId="13" fillId="0" borderId="0" xfId="0" applyFont="1" applyAlignment="1">
      <alignment wrapText="1"/>
    </xf>
    <xf numFmtId="3" fontId="5" fillId="0" borderId="0" xfId="0" applyNumberFormat="1" applyFont="1" applyAlignment="1">
      <alignment/>
    </xf>
    <xf numFmtId="3" fontId="0" fillId="0" borderId="0" xfId="0" applyNumberFormat="1" applyAlignment="1">
      <alignment/>
    </xf>
    <xf numFmtId="168" fontId="0" fillId="39" borderId="0" xfId="44" applyNumberFormat="1" applyFill="1" applyBorder="1" applyAlignment="1">
      <alignment/>
    </xf>
    <xf numFmtId="168" fontId="5" fillId="36" borderId="20" xfId="44" applyNumberFormat="1" applyFont="1" applyFill="1" applyBorder="1" applyAlignment="1">
      <alignment/>
    </xf>
    <xf numFmtId="168" fontId="5" fillId="36" borderId="21" xfId="44" applyNumberFormat="1" applyFont="1" applyFill="1" applyBorder="1" applyAlignment="1">
      <alignment/>
    </xf>
    <xf numFmtId="0" fontId="0" fillId="0" borderId="0" xfId="58">
      <alignment/>
      <protection/>
    </xf>
    <xf numFmtId="0" fontId="3" fillId="0" borderId="0" xfId="58" applyFont="1" applyAlignment="1">
      <alignment horizontal="centerContinuous"/>
      <protection/>
    </xf>
    <xf numFmtId="0" fontId="3" fillId="0" borderId="0" xfId="58" applyFont="1">
      <alignment/>
      <protection/>
    </xf>
    <xf numFmtId="0" fontId="3" fillId="0" borderId="0" xfId="58" applyFont="1" applyAlignment="1">
      <alignment horizontal="right" wrapText="1"/>
      <protection/>
    </xf>
    <xf numFmtId="0" fontId="3" fillId="0" borderId="0" xfId="58" applyFont="1" applyAlignment="1">
      <alignment horizontal="center"/>
      <protection/>
    </xf>
    <xf numFmtId="3" fontId="3" fillId="0" borderId="0" xfId="58" applyNumberFormat="1" applyFont="1">
      <alignment/>
      <protection/>
    </xf>
    <xf numFmtId="0" fontId="2" fillId="0" borderId="0" xfId="58" applyFont="1" applyAlignment="1">
      <alignment horizontal="center"/>
      <protection/>
    </xf>
    <xf numFmtId="0" fontId="2" fillId="0" borderId="0" xfId="58" applyFont="1">
      <alignment/>
      <protection/>
    </xf>
    <xf numFmtId="3" fontId="2" fillId="0" borderId="0" xfId="58" applyNumberFormat="1" applyFont="1">
      <alignment/>
      <protection/>
    </xf>
    <xf numFmtId="0" fontId="0" fillId="0" borderId="0" xfId="58" applyAlignment="1">
      <alignment vertical="top" wrapText="1"/>
      <protection/>
    </xf>
    <xf numFmtId="0" fontId="0" fillId="0" borderId="0" xfId="58" applyAlignment="1">
      <alignment vertical="top"/>
      <protection/>
    </xf>
    <xf numFmtId="0" fontId="16" fillId="0" borderId="0" xfId="58" applyFont="1" applyAlignment="1">
      <alignment vertical="top" wrapText="1"/>
      <protection/>
    </xf>
    <xf numFmtId="0" fontId="10" fillId="0" borderId="0" xfId="53" applyAlignment="1" applyProtection="1">
      <alignment vertical="top" wrapText="1"/>
      <protection/>
    </xf>
    <xf numFmtId="168" fontId="5" fillId="0" borderId="0" xfId="42" applyNumberFormat="1" applyFont="1" applyAlignment="1">
      <alignment vertical="top" wrapText="1"/>
    </xf>
    <xf numFmtId="168" fontId="0" fillId="0" borderId="0" xfId="42" applyNumberFormat="1" applyAlignment="1">
      <alignment vertical="top" wrapText="1"/>
    </xf>
    <xf numFmtId="166" fontId="0" fillId="0" borderId="0" xfId="42" applyAlignment="1">
      <alignment horizontal="right" vertical="top" wrapText="1"/>
    </xf>
    <xf numFmtId="4" fontId="0" fillId="0" borderId="0" xfId="58" applyNumberFormat="1" applyAlignment="1">
      <alignment horizontal="right" vertical="top" wrapText="1"/>
      <protection/>
    </xf>
    <xf numFmtId="0" fontId="0" fillId="35" borderId="0" xfId="58" applyFont="1" applyFill="1" applyAlignment="1">
      <alignment vertical="top" wrapText="1"/>
      <protection/>
    </xf>
    <xf numFmtId="0" fontId="0" fillId="36" borderId="0" xfId="58" applyFont="1" applyFill="1" applyAlignment="1">
      <alignment horizontal="left" vertical="top" wrapText="1"/>
      <protection/>
    </xf>
    <xf numFmtId="0" fontId="0" fillId="0" borderId="0" xfId="58" applyFont="1" applyBorder="1" applyAlignment="1">
      <alignment vertical="top" wrapText="1"/>
      <protection/>
    </xf>
    <xf numFmtId="0" fontId="16" fillId="0" borderId="0" xfId="58" applyFont="1" applyAlignment="1">
      <alignment vertical="top"/>
      <protection/>
    </xf>
    <xf numFmtId="0" fontId="5" fillId="0" borderId="0" xfId="58" applyFont="1" applyAlignment="1">
      <alignment vertical="top" wrapText="1"/>
      <protection/>
    </xf>
    <xf numFmtId="15" fontId="0" fillId="36" borderId="0" xfId="58" applyNumberFormat="1" applyFont="1" applyFill="1" applyAlignment="1">
      <alignment horizontal="left" vertical="top" wrapText="1"/>
      <protection/>
    </xf>
    <xf numFmtId="9" fontId="17" fillId="36" borderId="0" xfId="62" applyFont="1" applyFill="1" applyAlignment="1">
      <alignment vertical="top" wrapText="1"/>
    </xf>
    <xf numFmtId="0" fontId="0" fillId="36" borderId="0" xfId="58" applyNumberFormat="1" applyFont="1" applyFill="1" applyAlignment="1">
      <alignment horizontal="left" vertical="top" wrapText="1"/>
      <protection/>
    </xf>
    <xf numFmtId="0" fontId="0" fillId="40" borderId="0" xfId="58" applyFont="1" applyFill="1" applyBorder="1" applyAlignment="1">
      <alignment vertical="top" wrapText="1"/>
      <protection/>
    </xf>
    <xf numFmtId="0" fontId="0" fillId="0" borderId="22" xfId="58" applyFont="1" applyBorder="1" applyAlignment="1">
      <alignment vertical="top" wrapText="1"/>
      <protection/>
    </xf>
    <xf numFmtId="168" fontId="5" fillId="0" borderId="22" xfId="42" applyNumberFormat="1" applyFont="1" applyBorder="1" applyAlignment="1">
      <alignment vertical="top" wrapText="1"/>
    </xf>
    <xf numFmtId="168" fontId="0" fillId="0" borderId="22" xfId="42" applyNumberFormat="1" applyBorder="1" applyAlignment="1">
      <alignment vertical="top" wrapText="1"/>
    </xf>
    <xf numFmtId="168" fontId="0" fillId="0" borderId="0" xfId="42" applyNumberFormat="1" applyBorder="1" applyAlignment="1">
      <alignment vertical="top" wrapText="1"/>
    </xf>
    <xf numFmtId="0" fontId="0" fillId="0" borderId="23" xfId="58" applyBorder="1" applyAlignment="1">
      <alignment vertical="top" wrapText="1"/>
      <protection/>
    </xf>
    <xf numFmtId="0" fontId="18" fillId="0" borderId="24" xfId="58" applyFont="1" applyBorder="1" applyAlignment="1">
      <alignment vertical="top" wrapText="1"/>
      <protection/>
    </xf>
    <xf numFmtId="0" fontId="18" fillId="0" borderId="20" xfId="58" applyFont="1" applyBorder="1" applyAlignment="1">
      <alignment horizontal="right" vertical="top"/>
      <protection/>
    </xf>
    <xf numFmtId="0" fontId="19" fillId="35" borderId="0" xfId="58" applyFont="1" applyFill="1" applyAlignment="1">
      <alignment vertical="top" wrapText="1"/>
      <protection/>
    </xf>
    <xf numFmtId="170" fontId="15" fillId="36" borderId="0" xfId="62" applyNumberFormat="1" applyFont="1" applyFill="1" applyAlignment="1">
      <alignment horizontal="center" vertical="top" wrapText="1"/>
    </xf>
    <xf numFmtId="168" fontId="15" fillId="36" borderId="0" xfId="42" applyNumberFormat="1" applyFont="1" applyFill="1" applyAlignment="1">
      <alignment horizontal="center" vertical="top" wrapText="1"/>
    </xf>
    <xf numFmtId="168" fontId="18" fillId="0" borderId="0" xfId="42" applyNumberFormat="1" applyFont="1" applyBorder="1" applyAlignment="1">
      <alignment vertical="top" wrapText="1"/>
    </xf>
    <xf numFmtId="166" fontId="5" fillId="0" borderId="20" xfId="42" applyFont="1" applyBorder="1" applyAlignment="1">
      <alignment vertical="top" wrapText="1"/>
    </xf>
    <xf numFmtId="0" fontId="5" fillId="0" borderId="20" xfId="58" applyFont="1" applyBorder="1" applyAlignment="1">
      <alignment vertical="top" wrapText="1"/>
      <protection/>
    </xf>
    <xf numFmtId="4" fontId="0" fillId="0" borderId="20" xfId="58" applyNumberFormat="1" applyBorder="1" applyAlignment="1">
      <alignment vertical="top" wrapText="1"/>
      <protection/>
    </xf>
    <xf numFmtId="170" fontId="17" fillId="0" borderId="20" xfId="62" applyNumberFormat="1" applyFont="1" applyFill="1" applyBorder="1" applyAlignment="1">
      <alignment vertical="top" wrapText="1"/>
    </xf>
    <xf numFmtId="170" fontId="17" fillId="0" borderId="25" xfId="62" applyNumberFormat="1" applyFont="1" applyFill="1" applyBorder="1" applyAlignment="1">
      <alignment vertical="top" wrapText="1"/>
    </xf>
    <xf numFmtId="0" fontId="11" fillId="0" borderId="26" xfId="58" applyFont="1" applyBorder="1" applyAlignment="1">
      <alignment horizontal="right" vertical="top" wrapText="1"/>
      <protection/>
    </xf>
    <xf numFmtId="0" fontId="11" fillId="0" borderId="0" xfId="58" applyFont="1" applyBorder="1" applyAlignment="1">
      <alignment horizontal="right" vertical="top"/>
      <protection/>
    </xf>
    <xf numFmtId="168" fontId="0" fillId="0" borderId="0" xfId="42" applyNumberFormat="1" applyAlignment="1">
      <alignment horizontal="right" vertical="top" wrapText="1"/>
    </xf>
    <xf numFmtId="4" fontId="0" fillId="0" borderId="0" xfId="58" applyNumberFormat="1" applyAlignment="1">
      <alignment vertical="top" wrapText="1"/>
      <protection/>
    </xf>
    <xf numFmtId="15" fontId="0" fillId="0" borderId="23" xfId="58" applyNumberFormat="1" applyBorder="1" applyAlignment="1">
      <alignment vertical="top" wrapText="1"/>
      <protection/>
    </xf>
    <xf numFmtId="0" fontId="11" fillId="0" borderId="26" xfId="58" applyFont="1" applyBorder="1" applyAlignment="1">
      <alignment vertical="top" wrapText="1"/>
      <protection/>
    </xf>
    <xf numFmtId="9" fontId="0" fillId="0" borderId="0" xfId="62" applyFont="1" applyAlignment="1">
      <alignment vertical="top" wrapText="1"/>
    </xf>
    <xf numFmtId="170" fontId="15" fillId="36" borderId="0" xfId="62" applyNumberFormat="1" applyFont="1" applyFill="1" applyAlignment="1">
      <alignment horizontal="right" vertical="top" wrapText="1"/>
    </xf>
    <xf numFmtId="168" fontId="11" fillId="0" borderId="0" xfId="42" applyNumberFormat="1" applyFont="1" applyAlignment="1">
      <alignment vertical="top"/>
    </xf>
    <xf numFmtId="166" fontId="0" fillId="0" borderId="0" xfId="42" applyAlignment="1">
      <alignment vertical="top" wrapText="1"/>
    </xf>
    <xf numFmtId="170" fontId="5" fillId="35" borderId="0" xfId="62" applyNumberFormat="1" applyFont="1" applyFill="1" applyAlignment="1">
      <alignment vertical="top" wrapText="1"/>
    </xf>
    <xf numFmtId="4" fontId="0" fillId="0" borderId="23" xfId="58" applyNumberFormat="1" applyBorder="1" applyAlignment="1">
      <alignment vertical="top" wrapText="1"/>
      <protection/>
    </xf>
    <xf numFmtId="171" fontId="15" fillId="36" borderId="0" xfId="45" applyNumberFormat="1" applyFont="1" applyFill="1" applyAlignment="1">
      <alignment horizontal="right" vertical="top" wrapText="1"/>
    </xf>
    <xf numFmtId="0" fontId="11" fillId="0" borderId="0" xfId="58" applyFont="1" applyBorder="1" applyAlignment="1">
      <alignment horizontal="right" vertical="top" wrapText="1"/>
      <protection/>
    </xf>
    <xf numFmtId="0" fontId="5" fillId="0" borderId="0" xfId="58" applyFont="1" applyAlignment="1">
      <alignment horizontal="left" vertical="top" wrapText="1"/>
      <protection/>
    </xf>
    <xf numFmtId="0" fontId="11" fillId="0" borderId="0" xfId="58" applyFont="1" applyAlignment="1">
      <alignment vertical="top"/>
      <protection/>
    </xf>
    <xf numFmtId="168" fontId="11" fillId="36" borderId="0" xfId="42" applyNumberFormat="1" applyFont="1" applyFill="1" applyAlignment="1">
      <alignment vertical="top"/>
    </xf>
    <xf numFmtId="172" fontId="5" fillId="35" borderId="0" xfId="45" applyNumberFormat="1" applyFont="1" applyFill="1" applyAlignment="1">
      <alignment vertical="top" wrapText="1"/>
    </xf>
    <xf numFmtId="10" fontId="20" fillId="0" borderId="0" xfId="62" applyNumberFormat="1" applyFont="1" applyAlignment="1">
      <alignment horizontal="right" vertical="top" wrapText="1"/>
    </xf>
    <xf numFmtId="4" fontId="20" fillId="0" borderId="0" xfId="58" applyNumberFormat="1" applyFont="1" applyAlignment="1">
      <alignment horizontal="right" vertical="top" wrapText="1"/>
      <protection/>
    </xf>
    <xf numFmtId="170" fontId="19" fillId="35" borderId="0" xfId="62" applyNumberFormat="1" applyFont="1" applyFill="1" applyAlignment="1">
      <alignment vertical="top" wrapText="1"/>
    </xf>
    <xf numFmtId="173" fontId="5" fillId="35" borderId="0" xfId="45" applyNumberFormat="1" applyFont="1" applyFill="1" applyAlignment="1">
      <alignment vertical="top" wrapText="1"/>
    </xf>
    <xf numFmtId="168" fontId="18" fillId="0" borderId="0" xfId="42" applyNumberFormat="1" applyFont="1" applyAlignment="1">
      <alignment vertical="top"/>
    </xf>
    <xf numFmtId="4" fontId="5" fillId="34" borderId="0" xfId="58" applyNumberFormat="1" applyFont="1" applyFill="1" applyAlignment="1">
      <alignment vertical="top" wrapText="1"/>
      <protection/>
    </xf>
    <xf numFmtId="4" fontId="5" fillId="0" borderId="0" xfId="58" applyNumberFormat="1" applyFont="1" applyAlignment="1">
      <alignment vertical="top" wrapText="1"/>
      <protection/>
    </xf>
    <xf numFmtId="170" fontId="5" fillId="41" borderId="0" xfId="62" applyNumberFormat="1" applyFont="1" applyFill="1" applyAlignment="1">
      <alignment vertical="top" wrapText="1"/>
    </xf>
    <xf numFmtId="168" fontId="0" fillId="0" borderId="0" xfId="42" applyNumberFormat="1" applyFont="1" applyAlignment="1">
      <alignment vertical="top"/>
    </xf>
    <xf numFmtId="4" fontId="0" fillId="34" borderId="0" xfId="58" applyNumberFormat="1" applyFill="1" applyAlignment="1">
      <alignment vertical="top" wrapText="1"/>
      <protection/>
    </xf>
    <xf numFmtId="4" fontId="0" fillId="34" borderId="0" xfId="58" applyNumberFormat="1" applyFill="1" applyAlignment="1">
      <alignment horizontal="right" vertical="top" wrapText="1"/>
      <protection/>
    </xf>
    <xf numFmtId="0" fontId="5" fillId="0" borderId="24" xfId="58" applyFont="1" applyBorder="1" applyAlignment="1">
      <alignment vertical="top" wrapText="1"/>
      <protection/>
    </xf>
    <xf numFmtId="0" fontId="0" fillId="0" borderId="20" xfId="58" applyBorder="1" applyAlignment="1">
      <alignment vertical="top"/>
      <protection/>
    </xf>
    <xf numFmtId="168" fontId="0" fillId="0" borderId="20" xfId="42" applyNumberFormat="1" applyBorder="1" applyAlignment="1">
      <alignment vertical="top" wrapText="1"/>
    </xf>
    <xf numFmtId="166" fontId="0" fillId="0" borderId="20" xfId="42" applyBorder="1" applyAlignment="1">
      <alignment vertical="top" wrapText="1"/>
    </xf>
    <xf numFmtId="166" fontId="0" fillId="0" borderId="27" xfId="42" applyBorder="1" applyAlignment="1">
      <alignment vertical="top" wrapText="1"/>
    </xf>
    <xf numFmtId="4" fontId="0" fillId="0" borderId="24" xfId="58" applyNumberFormat="1" applyBorder="1" applyAlignment="1">
      <alignment vertical="top" wrapText="1"/>
      <protection/>
    </xf>
    <xf numFmtId="4" fontId="0" fillId="0" borderId="28" xfId="58" applyNumberFormat="1" applyBorder="1" applyAlignment="1">
      <alignment vertical="top" wrapText="1"/>
      <protection/>
    </xf>
    <xf numFmtId="4" fontId="0" fillId="0" borderId="29" xfId="58" applyNumberFormat="1" applyBorder="1" applyAlignment="1">
      <alignment vertical="top" wrapText="1"/>
      <protection/>
    </xf>
    <xf numFmtId="0" fontId="0" fillId="0" borderId="25" xfId="58" applyBorder="1" applyAlignment="1">
      <alignment vertical="top" wrapText="1"/>
      <protection/>
    </xf>
    <xf numFmtId="0" fontId="5" fillId="0" borderId="23" xfId="58" applyFont="1" applyBorder="1" applyAlignment="1">
      <alignment vertical="top" wrapText="1"/>
      <protection/>
    </xf>
    <xf numFmtId="0" fontId="5" fillId="0" borderId="26" xfId="58" applyFont="1" applyBorder="1" applyAlignment="1">
      <alignment vertical="top" wrapText="1"/>
      <protection/>
    </xf>
    <xf numFmtId="0" fontId="5" fillId="0" borderId="0" xfId="58" applyFont="1" applyBorder="1" applyAlignment="1">
      <alignment vertical="top"/>
      <protection/>
    </xf>
    <xf numFmtId="168" fontId="5" fillId="0" borderId="0" xfId="42" applyNumberFormat="1" applyFont="1" applyBorder="1" applyAlignment="1">
      <alignment vertical="top" wrapText="1"/>
    </xf>
    <xf numFmtId="166" fontId="5" fillId="0" borderId="0" xfId="42" applyFont="1" applyBorder="1" applyAlignment="1">
      <alignment vertical="top" wrapText="1"/>
    </xf>
    <xf numFmtId="166" fontId="5" fillId="0" borderId="30" xfId="42" applyFont="1" applyBorder="1" applyAlignment="1">
      <alignment horizontal="center" vertical="top" wrapText="1"/>
    </xf>
    <xf numFmtId="4" fontId="5" fillId="0" borderId="0" xfId="58" applyNumberFormat="1" applyFont="1" applyBorder="1" applyAlignment="1">
      <alignment horizontal="center" vertical="top" wrapText="1"/>
      <protection/>
    </xf>
    <xf numFmtId="4" fontId="5" fillId="0" borderId="26" xfId="58" applyNumberFormat="1" applyFont="1" applyBorder="1" applyAlignment="1">
      <alignment horizontal="center" vertical="top" wrapText="1"/>
      <protection/>
    </xf>
    <xf numFmtId="9" fontId="5" fillId="0" borderId="31" xfId="62" applyFont="1" applyBorder="1" applyAlignment="1">
      <alignment horizontal="center" vertical="top" wrapText="1"/>
    </xf>
    <xf numFmtId="4" fontId="5" fillId="0" borderId="32" xfId="58" applyNumberFormat="1" applyFont="1" applyBorder="1" applyAlignment="1">
      <alignment horizontal="center" vertical="top" wrapText="1"/>
      <protection/>
    </xf>
    <xf numFmtId="166" fontId="5" fillId="0" borderId="0" xfId="58" applyNumberFormat="1" applyFont="1" applyAlignment="1">
      <alignment vertical="top" wrapText="1"/>
      <protection/>
    </xf>
    <xf numFmtId="0" fontId="0" fillId="0" borderId="26" xfId="58" applyBorder="1" applyAlignment="1">
      <alignment vertical="top" wrapText="1"/>
      <protection/>
    </xf>
    <xf numFmtId="0" fontId="0" fillId="0" borderId="0" xfId="58" applyBorder="1" applyAlignment="1">
      <alignment vertical="top"/>
      <protection/>
    </xf>
    <xf numFmtId="0" fontId="0" fillId="0" borderId="0" xfId="58" applyFont="1" applyFill="1" applyBorder="1" applyAlignment="1">
      <alignment vertical="top"/>
      <protection/>
    </xf>
    <xf numFmtId="165" fontId="0" fillId="0" borderId="0" xfId="45" applyFont="1" applyBorder="1" applyAlignment="1">
      <alignment vertical="top"/>
    </xf>
    <xf numFmtId="168" fontId="0" fillId="0" borderId="0" xfId="42" applyNumberFormat="1" applyFont="1" applyFill="1" applyBorder="1" applyAlignment="1">
      <alignment vertical="top"/>
    </xf>
    <xf numFmtId="166" fontId="0" fillId="0" borderId="30" xfId="42" applyBorder="1" applyAlignment="1">
      <alignment vertical="top" wrapText="1"/>
    </xf>
    <xf numFmtId="4" fontId="0" fillId="0" borderId="0" xfId="58" applyNumberFormat="1" applyBorder="1" applyAlignment="1">
      <alignment vertical="top" wrapText="1"/>
      <protection/>
    </xf>
    <xf numFmtId="4" fontId="0" fillId="0" borderId="26" xfId="58" applyNumberFormat="1" applyBorder="1" applyAlignment="1">
      <alignment vertical="top" wrapText="1"/>
      <protection/>
    </xf>
    <xf numFmtId="4" fontId="0" fillId="0" borderId="31" xfId="58" applyNumberFormat="1" applyBorder="1" applyAlignment="1">
      <alignment vertical="top" wrapText="1"/>
      <protection/>
    </xf>
    <xf numFmtId="4" fontId="0" fillId="0" borderId="32" xfId="58" applyNumberFormat="1" applyBorder="1" applyAlignment="1">
      <alignment vertical="top" wrapText="1"/>
      <protection/>
    </xf>
    <xf numFmtId="166" fontId="0" fillId="0" borderId="0" xfId="42" applyBorder="1" applyAlignment="1">
      <alignment vertical="top" wrapText="1"/>
    </xf>
    <xf numFmtId="0" fontId="0" fillId="0" borderId="0" xfId="58" applyBorder="1" applyAlignment="1">
      <alignment vertical="top" wrapText="1"/>
      <protection/>
    </xf>
    <xf numFmtId="166" fontId="5" fillId="35" borderId="0" xfId="58" applyNumberFormat="1" applyFont="1" applyFill="1" applyAlignment="1">
      <alignment vertical="top" wrapText="1"/>
      <protection/>
    </xf>
    <xf numFmtId="4" fontId="0" fillId="36" borderId="0" xfId="58" applyNumberFormat="1" applyFill="1" applyBorder="1" applyAlignment="1">
      <alignment vertical="top" wrapText="1"/>
      <protection/>
    </xf>
    <xf numFmtId="166" fontId="0" fillId="36" borderId="0" xfId="42" applyNumberFormat="1" applyFill="1" applyBorder="1" applyAlignment="1">
      <alignment vertical="top" wrapText="1"/>
    </xf>
    <xf numFmtId="168" fontId="0" fillId="36" borderId="0" xfId="42" applyNumberFormat="1" applyFill="1" applyBorder="1" applyAlignment="1">
      <alignment vertical="top" wrapText="1"/>
    </xf>
    <xf numFmtId="168" fontId="0" fillId="42" borderId="0" xfId="42" applyNumberFormat="1" applyFill="1" applyBorder="1" applyAlignment="1">
      <alignment vertical="top" wrapText="1"/>
    </xf>
    <xf numFmtId="168" fontId="0" fillId="43" borderId="0" xfId="42" applyNumberFormat="1" applyFill="1" applyBorder="1" applyAlignment="1">
      <alignment vertical="top" wrapText="1"/>
    </xf>
    <xf numFmtId="166" fontId="0" fillId="36" borderId="30" xfId="42" applyFill="1" applyBorder="1" applyAlignment="1">
      <alignment vertical="top" wrapText="1"/>
    </xf>
    <xf numFmtId="166" fontId="0" fillId="36" borderId="0" xfId="42" applyFill="1" applyBorder="1" applyAlignment="1">
      <alignment vertical="top" wrapText="1"/>
    </xf>
    <xf numFmtId="166" fontId="0" fillId="36" borderId="26" xfId="42" applyFill="1" applyBorder="1" applyAlignment="1">
      <alignment vertical="top" wrapText="1"/>
    </xf>
    <xf numFmtId="9" fontId="0" fillId="35" borderId="31" xfId="62" applyFill="1" applyBorder="1" applyAlignment="1">
      <alignment vertical="top" wrapText="1"/>
    </xf>
    <xf numFmtId="166" fontId="0" fillId="36" borderId="32" xfId="42" applyFill="1" applyBorder="1" applyAlignment="1">
      <alignment vertical="top" wrapText="1"/>
    </xf>
    <xf numFmtId="166" fontId="0" fillId="0" borderId="0" xfId="58" applyNumberFormat="1" applyAlignment="1">
      <alignment vertical="top" wrapText="1"/>
      <protection/>
    </xf>
    <xf numFmtId="168" fontId="0" fillId="0" borderId="0" xfId="58" applyNumberFormat="1" applyAlignment="1">
      <alignment vertical="top" wrapText="1"/>
      <protection/>
    </xf>
    <xf numFmtId="0" fontId="0" fillId="44" borderId="26" xfId="58" applyFill="1" applyBorder="1" applyAlignment="1">
      <alignment vertical="top" wrapText="1"/>
      <protection/>
    </xf>
    <xf numFmtId="0" fontId="0" fillId="44" borderId="0" xfId="58" applyFill="1" applyBorder="1" applyAlignment="1">
      <alignment vertical="top"/>
      <protection/>
    </xf>
    <xf numFmtId="0" fontId="0" fillId="44" borderId="0" xfId="58" applyFill="1" applyBorder="1" applyAlignment="1">
      <alignment vertical="top" wrapText="1"/>
      <protection/>
    </xf>
    <xf numFmtId="0" fontId="0" fillId="44" borderId="0" xfId="58" applyFont="1" applyFill="1" applyBorder="1" applyAlignment="1">
      <alignment vertical="top"/>
      <protection/>
    </xf>
    <xf numFmtId="168" fontId="0" fillId="44" borderId="0" xfId="42" applyNumberFormat="1" applyFill="1" applyBorder="1" applyAlignment="1">
      <alignment vertical="top" wrapText="1"/>
    </xf>
    <xf numFmtId="168" fontId="0" fillId="44" borderId="0" xfId="42" applyNumberFormat="1" applyFont="1" applyFill="1" applyBorder="1" applyAlignment="1">
      <alignment vertical="top"/>
    </xf>
    <xf numFmtId="166" fontId="0" fillId="44" borderId="30" xfId="42" applyFill="1" applyBorder="1" applyAlignment="1">
      <alignment vertical="top" wrapText="1"/>
    </xf>
    <xf numFmtId="166" fontId="0" fillId="44" borderId="0" xfId="42" applyFill="1" applyBorder="1" applyAlignment="1">
      <alignment vertical="top" wrapText="1"/>
    </xf>
    <xf numFmtId="166" fontId="0" fillId="44" borderId="26" xfId="42" applyFill="1" applyBorder="1" applyAlignment="1">
      <alignment vertical="top" wrapText="1"/>
    </xf>
    <xf numFmtId="166" fontId="0" fillId="44" borderId="31" xfId="42" applyFill="1" applyBorder="1" applyAlignment="1">
      <alignment vertical="top" wrapText="1"/>
    </xf>
    <xf numFmtId="166" fontId="0" fillId="44" borderId="32" xfId="42" applyFill="1" applyBorder="1" applyAlignment="1">
      <alignment vertical="top" wrapText="1"/>
    </xf>
    <xf numFmtId="3" fontId="0" fillId="44" borderId="23" xfId="58" applyNumberFormat="1" applyFill="1" applyBorder="1" applyAlignment="1">
      <alignment vertical="top" wrapText="1"/>
      <protection/>
    </xf>
    <xf numFmtId="168" fontId="16" fillId="42" borderId="0" xfId="42" applyNumberFormat="1" applyFont="1" applyFill="1" applyBorder="1" applyAlignment="1">
      <alignment vertical="top" wrapText="1"/>
    </xf>
    <xf numFmtId="168" fontId="16" fillId="43" borderId="0" xfId="42" applyNumberFormat="1" applyFont="1" applyFill="1" applyBorder="1" applyAlignment="1">
      <alignment vertical="top" wrapText="1"/>
    </xf>
    <xf numFmtId="166" fontId="5" fillId="45" borderId="30" xfId="42" applyFont="1" applyFill="1" applyBorder="1" applyAlignment="1">
      <alignment vertical="top" wrapText="1"/>
    </xf>
    <xf numFmtId="166" fontId="5" fillId="45" borderId="26" xfId="42" applyFont="1" applyFill="1" applyBorder="1" applyAlignment="1">
      <alignment vertical="top" wrapText="1"/>
    </xf>
    <xf numFmtId="166" fontId="5" fillId="45" borderId="31" xfId="42" applyFont="1" applyFill="1" applyBorder="1" applyAlignment="1">
      <alignment vertical="top" wrapText="1"/>
    </xf>
    <xf numFmtId="166" fontId="5" fillId="45" borderId="32" xfId="42" applyFont="1" applyFill="1" applyBorder="1" applyAlignment="1">
      <alignment vertical="top" wrapText="1"/>
    </xf>
    <xf numFmtId="3" fontId="0" fillId="0" borderId="23" xfId="58" applyNumberFormat="1" applyBorder="1" applyAlignment="1">
      <alignment vertical="top" wrapText="1"/>
      <protection/>
    </xf>
    <xf numFmtId="166" fontId="0" fillId="0" borderId="26" xfId="42" applyBorder="1" applyAlignment="1">
      <alignment vertical="top" wrapText="1"/>
    </xf>
    <xf numFmtId="166" fontId="0" fillId="0" borderId="31" xfId="42" applyBorder="1" applyAlignment="1">
      <alignment vertical="top" wrapText="1"/>
    </xf>
    <xf numFmtId="166" fontId="0" fillId="0" borderId="32" xfId="42" applyBorder="1" applyAlignment="1">
      <alignment vertical="top" wrapText="1"/>
    </xf>
    <xf numFmtId="0" fontId="0" fillId="40" borderId="26" xfId="58" applyFont="1" applyFill="1" applyBorder="1" applyAlignment="1">
      <alignment vertical="top" wrapText="1"/>
      <protection/>
    </xf>
    <xf numFmtId="0" fontId="5" fillId="35" borderId="0" xfId="58" applyFont="1" applyFill="1" applyAlignment="1">
      <alignment vertical="top" wrapText="1"/>
      <protection/>
    </xf>
    <xf numFmtId="168" fontId="0" fillId="35" borderId="0" xfId="42" applyNumberFormat="1" applyFont="1" applyFill="1" applyAlignment="1">
      <alignment vertical="top" wrapText="1"/>
    </xf>
    <xf numFmtId="166" fontId="0" fillId="0" borderId="23" xfId="42" applyBorder="1" applyAlignment="1">
      <alignment vertical="top" wrapText="1"/>
    </xf>
    <xf numFmtId="166" fontId="5" fillId="45" borderId="0" xfId="42" applyFont="1" applyFill="1" applyBorder="1" applyAlignment="1">
      <alignment vertical="top" wrapText="1"/>
    </xf>
    <xf numFmtId="166" fontId="0" fillId="0" borderId="23" xfId="42" applyFont="1" applyBorder="1" applyAlignment="1">
      <alignment vertical="top" wrapText="1"/>
    </xf>
    <xf numFmtId="166" fontId="0" fillId="44" borderId="23" xfId="42" applyFill="1" applyBorder="1" applyAlignment="1">
      <alignment vertical="top" wrapText="1"/>
    </xf>
    <xf numFmtId="9" fontId="5" fillId="45" borderId="31" xfId="42" applyNumberFormat="1" applyFont="1" applyFill="1" applyBorder="1" applyAlignment="1">
      <alignment vertical="top" wrapText="1"/>
    </xf>
    <xf numFmtId="166" fontId="5" fillId="36" borderId="30" xfId="42" applyFont="1" applyFill="1" applyBorder="1" applyAlignment="1">
      <alignment vertical="top" wrapText="1"/>
    </xf>
    <xf numFmtId="166" fontId="5" fillId="36" borderId="0" xfId="42" applyFont="1" applyFill="1" applyBorder="1" applyAlignment="1">
      <alignment vertical="top" wrapText="1"/>
    </xf>
    <xf numFmtId="166" fontId="5" fillId="36" borderId="26" xfId="42" applyFont="1" applyFill="1" applyBorder="1" applyAlignment="1">
      <alignment vertical="top" wrapText="1"/>
    </xf>
    <xf numFmtId="166" fontId="5" fillId="36" borderId="32" xfId="42" applyFont="1" applyFill="1" applyBorder="1" applyAlignment="1">
      <alignment vertical="top" wrapText="1"/>
    </xf>
    <xf numFmtId="166" fontId="0" fillId="0" borderId="0" xfId="42" applyFont="1" applyBorder="1" applyAlignment="1">
      <alignment vertical="top" wrapText="1"/>
    </xf>
    <xf numFmtId="166" fontId="5" fillId="0" borderId="30" xfId="42" applyFont="1" applyBorder="1" applyAlignment="1">
      <alignment vertical="top" wrapText="1"/>
    </xf>
    <xf numFmtId="166" fontId="5" fillId="0" borderId="26" xfId="42" applyFont="1" applyBorder="1" applyAlignment="1">
      <alignment vertical="top" wrapText="1"/>
    </xf>
    <xf numFmtId="166" fontId="5" fillId="0" borderId="23" xfId="42" applyFont="1" applyBorder="1" applyAlignment="1">
      <alignment horizontal="left" vertical="top" wrapText="1"/>
    </xf>
    <xf numFmtId="166" fontId="5" fillId="0" borderId="31" xfId="42" applyFont="1" applyBorder="1" applyAlignment="1">
      <alignment vertical="top" wrapText="1"/>
    </xf>
    <xf numFmtId="166" fontId="0" fillId="36" borderId="0" xfId="42" applyFont="1" applyFill="1" applyBorder="1" applyAlignment="1">
      <alignment horizontal="center" vertical="top" wrapText="1"/>
    </xf>
    <xf numFmtId="166" fontId="5" fillId="45" borderId="0" xfId="42" applyFont="1" applyFill="1" applyBorder="1" applyAlignment="1">
      <alignment horizontal="center" vertical="top" wrapText="1"/>
    </xf>
    <xf numFmtId="0" fontId="5" fillId="0" borderId="26" xfId="58" applyFont="1" applyBorder="1" applyAlignment="1">
      <alignment vertical="top"/>
      <protection/>
    </xf>
    <xf numFmtId="166" fontId="5" fillId="0" borderId="0" xfId="42" applyFont="1" applyFill="1" applyBorder="1" applyAlignment="1">
      <alignment vertical="top" wrapText="1"/>
    </xf>
    <xf numFmtId="166" fontId="5" fillId="0" borderId="26" xfId="42" applyFont="1" applyFill="1" applyBorder="1" applyAlignment="1">
      <alignment vertical="top" wrapText="1"/>
    </xf>
    <xf numFmtId="0" fontId="5" fillId="0" borderId="26" xfId="58" applyFont="1" applyBorder="1" applyAlignment="1">
      <alignment horizontal="right" vertical="top" wrapText="1"/>
      <protection/>
    </xf>
    <xf numFmtId="168" fontId="19" fillId="42" borderId="33" xfId="42" applyNumberFormat="1" applyFont="1" applyFill="1" applyBorder="1" applyAlignment="1">
      <alignment vertical="top" wrapText="1"/>
    </xf>
    <xf numFmtId="168" fontId="19" fillId="43" borderId="33" xfId="42" applyNumberFormat="1" applyFont="1" applyFill="1" applyBorder="1" applyAlignment="1">
      <alignment vertical="top" wrapText="1"/>
    </xf>
    <xf numFmtId="166" fontId="5" fillId="36" borderId="34" xfId="42" applyFont="1" applyFill="1" applyBorder="1" applyAlignment="1">
      <alignment vertical="top" wrapText="1"/>
    </xf>
    <xf numFmtId="166" fontId="5" fillId="36" borderId="33" xfId="42" applyFont="1" applyFill="1" applyBorder="1" applyAlignment="1">
      <alignment vertical="top" wrapText="1"/>
    </xf>
    <xf numFmtId="166" fontId="5" fillId="36" borderId="35" xfId="42" applyFont="1" applyFill="1" applyBorder="1" applyAlignment="1">
      <alignment vertical="top" wrapText="1"/>
    </xf>
    <xf numFmtId="166" fontId="5" fillId="36" borderId="36" xfId="42" applyFont="1" applyFill="1" applyBorder="1" applyAlignment="1">
      <alignment vertical="top" wrapText="1"/>
    </xf>
    <xf numFmtId="166" fontId="5" fillId="36" borderId="37" xfId="42" applyFont="1" applyFill="1" applyBorder="1" applyAlignment="1">
      <alignment vertical="top" wrapText="1"/>
    </xf>
    <xf numFmtId="174" fontId="0" fillId="0" borderId="23" xfId="42" applyNumberFormat="1" applyFont="1" applyBorder="1" applyAlignment="1">
      <alignment vertical="top" wrapText="1"/>
    </xf>
    <xf numFmtId="166" fontId="5" fillId="0" borderId="0" xfId="42" applyFont="1" applyAlignment="1">
      <alignment vertical="top" wrapText="1"/>
    </xf>
    <xf numFmtId="166" fontId="5" fillId="0" borderId="31" xfId="42" applyFont="1" applyFill="1" applyBorder="1" applyAlignment="1">
      <alignment vertical="top" wrapText="1"/>
    </xf>
    <xf numFmtId="166" fontId="5" fillId="0" borderId="23" xfId="42" applyFont="1" applyBorder="1" applyAlignment="1">
      <alignment vertical="top" wrapText="1"/>
    </xf>
    <xf numFmtId="0" fontId="0" fillId="0" borderId="26" xfId="58" applyBorder="1" applyAlignment="1">
      <alignment horizontal="right" vertical="top" wrapText="1"/>
      <protection/>
    </xf>
    <xf numFmtId="170" fontId="5" fillId="36" borderId="0" xfId="62" applyNumberFormat="1" applyFont="1" applyFill="1" applyBorder="1" applyAlignment="1">
      <alignment vertical="top" wrapText="1"/>
    </xf>
    <xf numFmtId="166" fontId="5" fillId="36" borderId="38" xfId="42" applyFont="1" applyFill="1" applyBorder="1" applyAlignment="1">
      <alignment vertical="top" wrapText="1"/>
    </xf>
    <xf numFmtId="166" fontId="5" fillId="36" borderId="39" xfId="42" applyFont="1" applyFill="1" applyBorder="1" applyAlignment="1">
      <alignment vertical="top" wrapText="1"/>
    </xf>
    <xf numFmtId="166" fontId="5" fillId="36" borderId="40" xfId="42" applyFont="1" applyFill="1" applyBorder="1" applyAlignment="1">
      <alignment vertical="top" wrapText="1"/>
    </xf>
    <xf numFmtId="166" fontId="5" fillId="36" borderId="41" xfId="42" applyFont="1" applyFill="1" applyBorder="1" applyAlignment="1">
      <alignment vertical="top" wrapText="1"/>
    </xf>
    <xf numFmtId="166" fontId="5" fillId="36" borderId="42" xfId="42" applyFont="1" applyFill="1" applyBorder="1" applyAlignment="1">
      <alignment vertical="top" wrapText="1"/>
    </xf>
    <xf numFmtId="0" fontId="14" fillId="0" borderId="43" xfId="58" applyFont="1" applyBorder="1" applyAlignment="1">
      <alignment vertical="top" wrapText="1"/>
      <protection/>
    </xf>
    <xf numFmtId="0" fontId="14" fillId="0" borderId="22" xfId="58" applyFont="1" applyBorder="1" applyAlignment="1">
      <alignment vertical="top"/>
      <protection/>
    </xf>
    <xf numFmtId="166" fontId="0" fillId="0" borderId="22" xfId="42" applyBorder="1" applyAlignment="1">
      <alignment vertical="top" wrapText="1"/>
    </xf>
    <xf numFmtId="166" fontId="0" fillId="0" borderId="44" xfId="42" applyBorder="1" applyAlignment="1">
      <alignment vertical="top" wrapText="1"/>
    </xf>
    <xf numFmtId="166" fontId="5" fillId="0" borderId="45" xfId="42" applyFont="1" applyBorder="1" applyAlignment="1">
      <alignment vertical="top" wrapText="1"/>
    </xf>
    <xf numFmtId="166" fontId="0" fillId="0" borderId="45" xfId="42" applyBorder="1" applyAlignment="1">
      <alignment vertical="top" wrapText="1"/>
    </xf>
    <xf numFmtId="3" fontId="0" fillId="0" borderId="46" xfId="58" applyNumberFormat="1" applyFill="1" applyBorder="1" applyAlignment="1">
      <alignment horizontal="left" vertical="top" wrapText="1"/>
      <protection/>
    </xf>
    <xf numFmtId="0" fontId="0" fillId="0" borderId="0" xfId="59" applyFont="1">
      <alignment/>
      <protection/>
    </xf>
    <xf numFmtId="166" fontId="5" fillId="0" borderId="0" xfId="42" applyFont="1" applyAlignment="1">
      <alignment horizontal="center"/>
    </xf>
    <xf numFmtId="0" fontId="0" fillId="0" borderId="0" xfId="58" applyFont="1" applyAlignment="1">
      <alignment vertical="top" wrapText="1"/>
      <protection/>
    </xf>
    <xf numFmtId="2" fontId="22" fillId="0" borderId="0" xfId="0" applyNumberFormat="1" applyFont="1" applyFill="1" applyAlignment="1">
      <alignment wrapText="1"/>
    </xf>
    <xf numFmtId="0" fontId="22" fillId="0" borderId="0" xfId="0" applyFont="1" applyFill="1" applyAlignment="1">
      <alignment wrapText="1"/>
    </xf>
    <xf numFmtId="0" fontId="22" fillId="0" borderId="0" xfId="0" applyFont="1" applyFill="1" applyAlignment="1">
      <alignment horizontal="left" wrapText="1"/>
    </xf>
    <xf numFmtId="0" fontId="22" fillId="0" borderId="0" xfId="0" applyFont="1" applyFill="1" applyAlignment="1">
      <alignment horizontal="left" vertical="top" wrapText="1"/>
    </xf>
    <xf numFmtId="175" fontId="22" fillId="0" borderId="0" xfId="0" applyNumberFormat="1" applyFont="1" applyFill="1" applyAlignment="1">
      <alignment horizontal="center" wrapText="1"/>
    </xf>
    <xf numFmtId="0" fontId="22" fillId="0" borderId="47" xfId="0" applyFont="1" applyFill="1" applyBorder="1" applyAlignment="1">
      <alignment vertical="top" wrapText="1"/>
    </xf>
    <xf numFmtId="0" fontId="9" fillId="0" borderId="48" xfId="0" applyFont="1" applyFill="1" applyBorder="1" applyAlignment="1">
      <alignment horizontal="center" wrapText="1"/>
    </xf>
    <xf numFmtId="0" fontId="9" fillId="0" borderId="49" xfId="0" applyFont="1" applyFill="1" applyBorder="1" applyAlignment="1">
      <alignment horizontal="center" wrapText="1"/>
    </xf>
    <xf numFmtId="0" fontId="23" fillId="0" borderId="19" xfId="0" applyFont="1" applyBorder="1" applyAlignment="1">
      <alignment horizontal="center" wrapText="1"/>
    </xf>
    <xf numFmtId="175" fontId="22" fillId="0" borderId="19" xfId="0" applyNumberFormat="1" applyFont="1" applyFill="1" applyBorder="1" applyAlignment="1">
      <alignment horizontal="center" wrapText="1"/>
    </xf>
    <xf numFmtId="0" fontId="22" fillId="0" borderId="50" xfId="0" applyFont="1" applyFill="1" applyBorder="1" applyAlignment="1">
      <alignment wrapText="1"/>
    </xf>
    <xf numFmtId="175" fontId="22" fillId="0" borderId="50" xfId="0" applyNumberFormat="1" applyFont="1" applyFill="1" applyBorder="1" applyAlignment="1">
      <alignment wrapText="1"/>
    </xf>
    <xf numFmtId="175" fontId="22" fillId="0" borderId="51" xfId="0" applyNumberFormat="1" applyFont="1" applyFill="1" applyBorder="1" applyAlignment="1">
      <alignment wrapText="1"/>
    </xf>
    <xf numFmtId="167" fontId="9" fillId="0" borderId="50" xfId="0" applyNumberFormat="1" applyFont="1" applyFill="1" applyBorder="1" applyAlignment="1">
      <alignment wrapText="1"/>
    </xf>
    <xf numFmtId="0" fontId="22" fillId="0" borderId="50" xfId="0" applyFont="1" applyFill="1" applyBorder="1" applyAlignment="1">
      <alignment vertical="top" wrapText="1"/>
    </xf>
    <xf numFmtId="0" fontId="22" fillId="0" borderId="50" xfId="0" applyFont="1" applyBorder="1" applyAlignment="1">
      <alignment horizontal="left" vertical="center" wrapText="1"/>
    </xf>
    <xf numFmtId="175" fontId="22" fillId="46" borderId="19" xfId="0" applyNumberFormat="1" applyFont="1" applyFill="1" applyBorder="1" applyAlignment="1">
      <alignment horizontal="center" wrapText="1"/>
    </xf>
    <xf numFmtId="175" fontId="22" fillId="47" borderId="50" xfId="0" applyNumberFormat="1" applyFont="1" applyFill="1" applyBorder="1" applyAlignment="1">
      <alignment wrapText="1"/>
    </xf>
    <xf numFmtId="175" fontId="22" fillId="47" borderId="51" xfId="0" applyNumberFormat="1" applyFont="1" applyFill="1" applyBorder="1" applyAlignment="1">
      <alignment wrapText="1"/>
    </xf>
    <xf numFmtId="175" fontId="22" fillId="47" borderId="19" xfId="0" applyNumberFormat="1" applyFont="1" applyFill="1" applyBorder="1" applyAlignment="1">
      <alignment horizontal="center" wrapText="1"/>
    </xf>
    <xf numFmtId="0" fontId="22" fillId="0" borderId="50" xfId="0" applyFont="1" applyFill="1" applyBorder="1" applyAlignment="1">
      <alignment/>
    </xf>
    <xf numFmtId="0" fontId="22" fillId="0" borderId="50" xfId="0" applyFont="1" applyBorder="1" applyAlignment="1" applyProtection="1">
      <alignment horizontal="left" vertical="center" wrapText="1"/>
      <protection locked="0"/>
    </xf>
    <xf numFmtId="0" fontId="22" fillId="0" borderId="50" xfId="0" applyFont="1" applyFill="1" applyBorder="1" applyAlignment="1" applyProtection="1">
      <alignment horizontal="left" vertical="center" wrapText="1"/>
      <protection locked="0"/>
    </xf>
    <xf numFmtId="0" fontId="22" fillId="0" borderId="50"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7" fillId="0" borderId="50" xfId="0" applyFont="1" applyBorder="1" applyAlignment="1" applyProtection="1">
      <alignment horizontal="left" vertical="center" wrapText="1"/>
      <protection locked="0"/>
    </xf>
    <xf numFmtId="0" fontId="24" fillId="0" borderId="50" xfId="0" applyFont="1" applyFill="1" applyBorder="1" applyAlignment="1">
      <alignment vertical="top" wrapText="1"/>
    </xf>
    <xf numFmtId="175" fontId="24" fillId="0" borderId="50" xfId="0" applyNumberFormat="1" applyFont="1" applyFill="1" applyBorder="1" applyAlignment="1">
      <alignment wrapText="1"/>
    </xf>
    <xf numFmtId="175" fontId="24" fillId="0" borderId="51" xfId="0" applyNumberFormat="1" applyFont="1" applyFill="1" applyBorder="1" applyAlignment="1">
      <alignment wrapText="1"/>
    </xf>
    <xf numFmtId="0" fontId="22" fillId="0" borderId="50" xfId="0" applyNumberFormat="1" applyFont="1" applyFill="1" applyBorder="1" applyAlignment="1">
      <alignment wrapText="1"/>
    </xf>
    <xf numFmtId="0" fontId="22" fillId="0" borderId="47" xfId="0" applyFont="1" applyFill="1" applyBorder="1" applyAlignment="1">
      <alignment wrapText="1"/>
    </xf>
    <xf numFmtId="0" fontId="9" fillId="0" borderId="0" xfId="0" applyFont="1" applyFill="1" applyAlignment="1">
      <alignment horizontal="left" wrapText="1"/>
    </xf>
    <xf numFmtId="175" fontId="9" fillId="0" borderId="0" xfId="0" applyNumberFormat="1" applyFont="1" applyFill="1" applyAlignment="1">
      <alignment horizontal="center" wrapText="1"/>
    </xf>
    <xf numFmtId="176" fontId="9" fillId="0" borderId="0" xfId="0" applyNumberFormat="1" applyFont="1" applyFill="1" applyAlignment="1">
      <alignment horizontal="center" wrapText="1"/>
    </xf>
    <xf numFmtId="0" fontId="22" fillId="0" borderId="47" xfId="0" applyFont="1" applyFill="1" applyBorder="1" applyAlignment="1">
      <alignment/>
    </xf>
    <xf numFmtId="0" fontId="22" fillId="0" borderId="52" xfId="0" applyFont="1" applyBorder="1" applyAlignment="1">
      <alignment horizontal="left" vertical="center" wrapText="1"/>
    </xf>
    <xf numFmtId="0" fontId="22" fillId="0" borderId="47" xfId="0" applyFont="1" applyBorder="1" applyAlignment="1">
      <alignment horizontal="left" vertical="center" wrapText="1"/>
    </xf>
    <xf numFmtId="0" fontId="22" fillId="0" borderId="53" xfId="0" applyFont="1" applyFill="1" applyBorder="1" applyAlignment="1" applyProtection="1">
      <alignment horizontal="left" vertical="center" wrapText="1"/>
      <protection locked="0"/>
    </xf>
    <xf numFmtId="0" fontId="22" fillId="47" borderId="47" xfId="0" applyFont="1" applyFill="1" applyBorder="1" applyAlignment="1">
      <alignment wrapText="1"/>
    </xf>
    <xf numFmtId="0" fontId="22" fillId="0" borderId="54" xfId="0" applyFont="1" applyBorder="1" applyAlignment="1">
      <alignment horizontal="left" vertical="center" wrapText="1"/>
    </xf>
    <xf numFmtId="0" fontId="22" fillId="0" borderId="53" xfId="0" applyFont="1" applyBorder="1" applyAlignment="1">
      <alignment horizontal="left" vertical="center" wrapText="1"/>
    </xf>
    <xf numFmtId="0" fontId="22" fillId="0" borderId="50" xfId="0" applyFont="1" applyFill="1" applyBorder="1" applyAlignment="1">
      <alignment vertical="center" wrapText="1"/>
    </xf>
    <xf numFmtId="0" fontId="0" fillId="0" borderId="47" xfId="0" applyFont="1" applyBorder="1" applyAlignment="1" applyProtection="1">
      <alignment horizontal="left" vertical="center" wrapText="1"/>
      <protection locked="0"/>
    </xf>
    <xf numFmtId="0" fontId="0" fillId="48" borderId="0" xfId="0" applyFill="1" applyAlignment="1">
      <alignment vertical="top"/>
    </xf>
    <xf numFmtId="15" fontId="0" fillId="36" borderId="0" xfId="0" applyNumberFormat="1" applyFill="1" applyBorder="1" applyAlignment="1">
      <alignment horizontal="right" vertical="top" wrapText="1"/>
    </xf>
    <xf numFmtId="4" fontId="0" fillId="0" borderId="0" xfId="0" applyNumberFormat="1" applyFont="1" applyAlignment="1">
      <alignment horizontal="left" vertical="top" wrapText="1"/>
    </xf>
    <xf numFmtId="4" fontId="5" fillId="0" borderId="0" xfId="0" applyNumberFormat="1" applyFont="1" applyAlignment="1">
      <alignment horizontal="left" vertical="top"/>
    </xf>
    <xf numFmtId="4" fontId="0" fillId="0" borderId="19" xfId="0" applyNumberFormat="1" applyFont="1" applyBorder="1" applyAlignment="1">
      <alignment horizontal="left" vertical="top" wrapText="1"/>
    </xf>
    <xf numFmtId="0" fontId="0" fillId="0" borderId="19" xfId="0" applyBorder="1" applyAlignment="1">
      <alignment/>
    </xf>
    <xf numFmtId="0" fontId="0" fillId="0" borderId="0" xfId="0" applyAlignment="1">
      <alignment vertical="top"/>
    </xf>
    <xf numFmtId="0" fontId="5" fillId="0" borderId="0" xfId="57" applyFont="1">
      <alignment/>
      <protection/>
    </xf>
    <xf numFmtId="0" fontId="73" fillId="0" borderId="0" xfId="0" applyFont="1" applyAlignment="1">
      <alignment vertical="center"/>
    </xf>
    <xf numFmtId="0" fontId="28" fillId="49" borderId="19" xfId="0" applyFont="1" applyFill="1" applyBorder="1" applyAlignment="1">
      <alignment vertical="center" wrapText="1"/>
    </xf>
    <xf numFmtId="0" fontId="5" fillId="49" borderId="19" xfId="0" applyFont="1" applyFill="1" applyBorder="1" applyAlignment="1">
      <alignment vertical="center" wrapText="1"/>
    </xf>
    <xf numFmtId="17" fontId="28" fillId="0" borderId="19" xfId="0" applyNumberFormat="1" applyFont="1" applyBorder="1" applyAlignment="1">
      <alignment vertical="center" wrapText="1"/>
    </xf>
    <xf numFmtId="0" fontId="28" fillId="0" borderId="19" xfId="0" applyFont="1" applyBorder="1" applyAlignment="1">
      <alignment vertical="center" wrapText="1"/>
    </xf>
    <xf numFmtId="0" fontId="28" fillId="0" borderId="19" xfId="0" applyFont="1" applyBorder="1" applyAlignment="1">
      <alignment horizontal="center" vertical="center" wrapText="1"/>
    </xf>
    <xf numFmtId="0" fontId="29" fillId="0" borderId="19" xfId="0" applyFont="1" applyBorder="1" applyAlignment="1">
      <alignment horizontal="center" vertical="center" wrapText="1"/>
    </xf>
    <xf numFmtId="17" fontId="28" fillId="49" borderId="19" xfId="0" applyNumberFormat="1" applyFont="1" applyFill="1" applyBorder="1" applyAlignment="1">
      <alignment vertical="center" wrapText="1"/>
    </xf>
    <xf numFmtId="177" fontId="28" fillId="49" borderId="19" xfId="0" applyNumberFormat="1" applyFont="1" applyFill="1" applyBorder="1" applyAlignment="1">
      <alignment horizontal="center" vertical="center" wrapText="1"/>
    </xf>
    <xf numFmtId="177" fontId="28" fillId="0" borderId="19" xfId="0" applyNumberFormat="1" applyFont="1" applyFill="1" applyBorder="1" applyAlignment="1">
      <alignment horizontal="center" vertical="center" wrapText="1"/>
    </xf>
    <xf numFmtId="0" fontId="28" fillId="49" borderId="12" xfId="0" applyFont="1" applyFill="1" applyBorder="1" applyAlignment="1">
      <alignment vertical="center" wrapText="1"/>
    </xf>
    <xf numFmtId="0" fontId="5" fillId="49" borderId="18" xfId="0" applyFont="1" applyFill="1" applyBorder="1" applyAlignment="1">
      <alignment vertical="center" wrapText="1"/>
    </xf>
    <xf numFmtId="0" fontId="28" fillId="49" borderId="16" xfId="0" applyFont="1" applyFill="1" applyBorder="1" applyAlignment="1">
      <alignment vertical="center" wrapText="1"/>
    </xf>
    <xf numFmtId="0" fontId="3" fillId="49" borderId="19" xfId="0" applyFont="1" applyFill="1" applyBorder="1" applyAlignment="1">
      <alignment vertical="center" wrapText="1"/>
    </xf>
    <xf numFmtId="0" fontId="2" fillId="0" borderId="19" xfId="0" applyFont="1" applyBorder="1" applyAlignment="1">
      <alignment vertical="center"/>
    </xf>
    <xf numFmtId="0" fontId="3" fillId="0" borderId="19" xfId="0" applyFont="1" applyBorder="1" applyAlignment="1">
      <alignment vertical="center" wrapText="1"/>
    </xf>
    <xf numFmtId="0" fontId="3" fillId="0" borderId="19" xfId="0" applyFont="1" applyBorder="1" applyAlignment="1">
      <alignment horizontal="center" vertical="center" wrapText="1"/>
    </xf>
    <xf numFmtId="0" fontId="0" fillId="0" borderId="19" xfId="0" applyFont="1" applyBorder="1" applyAlignment="1">
      <alignment vertical="center"/>
    </xf>
    <xf numFmtId="0" fontId="3" fillId="49" borderId="19" xfId="0" applyFont="1" applyFill="1" applyBorder="1" applyAlignment="1">
      <alignment horizontal="center" vertical="center"/>
    </xf>
    <xf numFmtId="0" fontId="3" fillId="49" borderId="19" xfId="0" applyFont="1" applyFill="1" applyBorder="1" applyAlignment="1">
      <alignment vertical="center"/>
    </xf>
    <xf numFmtId="0" fontId="2" fillId="0" borderId="19" xfId="0" applyFont="1" applyBorder="1" applyAlignment="1">
      <alignment horizontal="center"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28" fillId="49" borderId="19" xfId="0" applyFont="1" applyFill="1" applyBorder="1" applyAlignment="1">
      <alignment vertical="center"/>
    </xf>
    <xf numFmtId="0" fontId="4" fillId="0" borderId="19" xfId="0" applyFont="1" applyBorder="1" applyAlignment="1">
      <alignment vertical="center"/>
    </xf>
    <xf numFmtId="0" fontId="5" fillId="49" borderId="19" xfId="0" applyFont="1" applyFill="1" applyBorder="1" applyAlignment="1">
      <alignment horizontal="center" vertical="center" wrapText="1"/>
    </xf>
    <xf numFmtId="0" fontId="29" fillId="49" borderId="19" xfId="0" applyFont="1" applyFill="1" applyBorder="1" applyAlignment="1">
      <alignment vertical="center" wrapText="1"/>
    </xf>
    <xf numFmtId="0" fontId="74" fillId="0" borderId="0" xfId="0" applyFont="1" applyAlignment="1">
      <alignment vertical="center"/>
    </xf>
    <xf numFmtId="0" fontId="73" fillId="0" borderId="0" xfId="0" applyFont="1" applyAlignment="1">
      <alignment vertical="top"/>
    </xf>
    <xf numFmtId="0" fontId="75" fillId="0" borderId="0" xfId="0" applyFont="1" applyAlignment="1">
      <alignment/>
    </xf>
    <xf numFmtId="0" fontId="75" fillId="0" borderId="0" xfId="0" applyFont="1" applyFill="1" applyBorder="1" applyAlignment="1">
      <alignment horizontal="center" wrapText="1"/>
    </xf>
    <xf numFmtId="167" fontId="3" fillId="49" borderId="19" xfId="0" applyNumberFormat="1" applyFont="1" applyFill="1" applyBorder="1" applyAlignment="1">
      <alignment horizontal="center" vertical="center"/>
    </xf>
    <xf numFmtId="167" fontId="3" fillId="0" borderId="19" xfId="0" applyNumberFormat="1" applyFont="1" applyBorder="1" applyAlignment="1">
      <alignment horizontal="center" vertical="center"/>
    </xf>
    <xf numFmtId="167" fontId="4" fillId="0" borderId="19" xfId="0" applyNumberFormat="1" applyFont="1" applyBorder="1" applyAlignment="1">
      <alignment horizontal="center" vertical="center"/>
    </xf>
    <xf numFmtId="178" fontId="28" fillId="0" borderId="19" xfId="0" applyNumberFormat="1" applyFont="1" applyFill="1" applyBorder="1" applyAlignment="1">
      <alignment horizontal="center" vertical="center" wrapText="1"/>
    </xf>
    <xf numFmtId="178" fontId="28" fillId="49" borderId="19" xfId="0" applyNumberFormat="1" applyFont="1" applyFill="1" applyBorder="1" applyAlignment="1">
      <alignment horizontal="center" vertical="center" wrapText="1"/>
    </xf>
    <xf numFmtId="178" fontId="29" fillId="49" borderId="19" xfId="0" applyNumberFormat="1" applyFont="1" applyFill="1" applyBorder="1" applyAlignment="1">
      <alignment horizontal="center" vertical="center" wrapText="1"/>
    </xf>
    <xf numFmtId="0" fontId="3" fillId="50" borderId="0" xfId="57" applyFont="1" applyFill="1" applyAlignment="1">
      <alignment horizontal="center"/>
      <protection/>
    </xf>
    <xf numFmtId="0" fontId="3" fillId="51" borderId="0" xfId="57" applyFont="1" applyFill="1" applyAlignment="1">
      <alignment horizontal="center"/>
      <protection/>
    </xf>
    <xf numFmtId="0" fontId="3" fillId="0" borderId="19" xfId="57" applyFont="1" applyBorder="1" applyAlignment="1">
      <alignment horizontal="right" wrapText="1"/>
      <protection/>
    </xf>
    <xf numFmtId="0" fontId="2" fillId="0" borderId="12" xfId="57" applyFont="1" applyBorder="1">
      <alignment/>
      <protection/>
    </xf>
    <xf numFmtId="3" fontId="2" fillId="0" borderId="12" xfId="57" applyNumberFormat="1" applyFont="1" applyBorder="1" applyAlignment="1">
      <alignment horizontal="right"/>
      <protection/>
    </xf>
    <xf numFmtId="0" fontId="2" fillId="0" borderId="16" xfId="57" applyFont="1" applyBorder="1">
      <alignment/>
      <protection/>
    </xf>
    <xf numFmtId="3" fontId="2" fillId="0" borderId="16" xfId="57" applyNumberFormat="1" applyFont="1" applyBorder="1" applyAlignment="1">
      <alignment horizontal="right"/>
      <protection/>
    </xf>
    <xf numFmtId="0" fontId="2" fillId="0" borderId="18" xfId="57" applyFont="1" applyBorder="1">
      <alignment/>
      <protection/>
    </xf>
    <xf numFmtId="3" fontId="2" fillId="0" borderId="18" xfId="57" applyNumberFormat="1" applyFont="1" applyBorder="1" applyAlignment="1">
      <alignment horizontal="right"/>
      <protection/>
    </xf>
    <xf numFmtId="0" fontId="2" fillId="0" borderId="16" xfId="57" applyFont="1" applyBorder="1" applyAlignment="1">
      <alignment horizontal="center"/>
      <protection/>
    </xf>
    <xf numFmtId="9" fontId="2" fillId="32" borderId="16" xfId="57" applyNumberFormat="1" applyFont="1" applyFill="1" applyBorder="1">
      <alignment/>
      <protection/>
    </xf>
    <xf numFmtId="0" fontId="2" fillId="32" borderId="16" xfId="57" applyFont="1" applyFill="1" applyBorder="1" applyAlignment="1">
      <alignment horizontal="center"/>
      <protection/>
    </xf>
    <xf numFmtId="9" fontId="2" fillId="0" borderId="16" xfId="57" applyNumberFormat="1" applyFont="1" applyBorder="1">
      <alignment/>
      <protection/>
    </xf>
    <xf numFmtId="0" fontId="2" fillId="32" borderId="18" xfId="57" applyFont="1" applyFill="1" applyBorder="1" applyAlignment="1">
      <alignment horizontal="center"/>
      <protection/>
    </xf>
    <xf numFmtId="9" fontId="2" fillId="0" borderId="18" xfId="57" applyNumberFormat="1" applyFont="1" applyBorder="1">
      <alignment/>
      <protection/>
    </xf>
    <xf numFmtId="0" fontId="3" fillId="0" borderId="19" xfId="57" applyFont="1" applyBorder="1" applyAlignment="1">
      <alignment horizontal="center"/>
      <protection/>
    </xf>
    <xf numFmtId="0" fontId="3" fillId="0" borderId="19" xfId="57" applyFont="1" applyBorder="1" applyAlignment="1">
      <alignment horizontal="right"/>
      <protection/>
    </xf>
    <xf numFmtId="0" fontId="3" fillId="0" borderId="19" xfId="57" applyFont="1" applyBorder="1" applyAlignment="1">
      <alignment horizontal="center" wrapText="1"/>
      <protection/>
    </xf>
    <xf numFmtId="3" fontId="2" fillId="0" borderId="12" xfId="57" applyNumberFormat="1" applyFont="1" applyBorder="1">
      <alignment/>
      <protection/>
    </xf>
    <xf numFmtId="9" fontId="2" fillId="0" borderId="12" xfId="57" applyNumberFormat="1" applyFont="1" applyBorder="1" applyAlignment="1">
      <alignment horizontal="center"/>
      <protection/>
    </xf>
    <xf numFmtId="3" fontId="2" fillId="0" borderId="16" xfId="57" applyNumberFormat="1" applyFont="1" applyBorder="1">
      <alignment/>
      <protection/>
    </xf>
    <xf numFmtId="9" fontId="2" fillId="0" borderId="16" xfId="57" applyNumberFormat="1" applyFont="1" applyBorder="1" applyAlignment="1">
      <alignment horizontal="center"/>
      <protection/>
    </xf>
    <xf numFmtId="3" fontId="2" fillId="0" borderId="18" xfId="57" applyNumberFormat="1" applyFont="1" applyBorder="1">
      <alignment/>
      <protection/>
    </xf>
    <xf numFmtId="9" fontId="2" fillId="0" borderId="18" xfId="57" applyNumberFormat="1" applyFont="1" applyBorder="1" applyAlignment="1">
      <alignment horizontal="center"/>
      <protection/>
    </xf>
    <xf numFmtId="9" fontId="15" fillId="36" borderId="0" xfId="62" applyFont="1" applyFill="1" applyAlignment="1">
      <alignment vertical="top"/>
    </xf>
    <xf numFmtId="0" fontId="3" fillId="0" borderId="19" xfId="57" applyFont="1" applyBorder="1">
      <alignment/>
      <protection/>
    </xf>
    <xf numFmtId="0" fontId="3" fillId="0" borderId="12" xfId="57" applyFont="1" applyBorder="1">
      <alignment/>
      <protection/>
    </xf>
    <xf numFmtId="0" fontId="2" fillId="0" borderId="12" xfId="57" applyFont="1" applyBorder="1" quotePrefix="1">
      <alignment/>
      <protection/>
    </xf>
    <xf numFmtId="0" fontId="3" fillId="0" borderId="16" xfId="57" applyFont="1" applyBorder="1">
      <alignment/>
      <protection/>
    </xf>
    <xf numFmtId="0" fontId="2" fillId="0" borderId="16" xfId="57" applyFont="1" applyBorder="1" quotePrefix="1">
      <alignment/>
      <protection/>
    </xf>
    <xf numFmtId="0" fontId="3" fillId="0" borderId="18" xfId="57" applyFont="1" applyBorder="1">
      <alignment/>
      <protection/>
    </xf>
    <xf numFmtId="0" fontId="2" fillId="0" borderId="18" xfId="57" applyFont="1" applyBorder="1" quotePrefix="1">
      <alignment/>
      <protection/>
    </xf>
    <xf numFmtId="0" fontId="0" fillId="35" borderId="0" xfId="58" applyFont="1" applyFill="1" applyAlignment="1">
      <alignment vertical="top"/>
      <protection/>
    </xf>
    <xf numFmtId="0" fontId="76" fillId="0" borderId="0" xfId="58" applyFont="1" applyAlignment="1">
      <alignment horizontal="center" vertical="center"/>
      <protection/>
    </xf>
    <xf numFmtId="0" fontId="14" fillId="0" borderId="0" xfId="58" applyFont="1">
      <alignment/>
      <protection/>
    </xf>
    <xf numFmtId="167" fontId="6" fillId="0" borderId="0" xfId="0" applyNumberFormat="1" applyFont="1" applyAlignment="1">
      <alignment horizontal="center"/>
    </xf>
    <xf numFmtId="3" fontId="6" fillId="0" borderId="0" xfId="58" applyNumberFormat="1" applyFont="1">
      <alignment/>
      <protection/>
    </xf>
    <xf numFmtId="0" fontId="3" fillId="0" borderId="0" xfId="57" applyFont="1" applyBorder="1" applyAlignment="1">
      <alignment horizontal="center" wrapText="1"/>
      <protection/>
    </xf>
    <xf numFmtId="9" fontId="2" fillId="0" borderId="0" xfId="57" applyNumberFormat="1" applyFont="1" applyBorder="1" applyAlignment="1">
      <alignment horizontal="center"/>
      <protection/>
    </xf>
    <xf numFmtId="3" fontId="2" fillId="0" borderId="16" xfId="57" applyNumberFormat="1" applyFont="1" applyBorder="1" quotePrefix="1">
      <alignment/>
      <protection/>
    </xf>
    <xf numFmtId="168" fontId="2" fillId="0" borderId="0" xfId="42" applyNumberFormat="1" applyFont="1" applyBorder="1" applyAlignment="1">
      <alignment horizontal="center"/>
    </xf>
    <xf numFmtId="0" fontId="5" fillId="49" borderId="19" xfId="0" applyFont="1" applyFill="1" applyBorder="1" applyAlignment="1">
      <alignment horizontal="center" vertical="center" wrapText="1"/>
    </xf>
    <xf numFmtId="2" fontId="22" fillId="0" borderId="0" xfId="0" applyNumberFormat="1" applyFont="1" applyFill="1" applyAlignment="1">
      <alignment/>
    </xf>
    <xf numFmtId="176" fontId="22" fillId="0" borderId="0" xfId="0" applyNumberFormat="1" applyFont="1" applyFill="1" applyAlignment="1">
      <alignment horizontal="center" wrapText="1"/>
    </xf>
    <xf numFmtId="0" fontId="9" fillId="0" borderId="0" xfId="0" applyFont="1" applyFill="1" applyAlignment="1">
      <alignment horizontal="left"/>
    </xf>
    <xf numFmtId="0" fontId="77" fillId="0" borderId="0" xfId="0" applyFont="1" applyAlignment="1">
      <alignment/>
    </xf>
    <xf numFmtId="2" fontId="76" fillId="0" borderId="0" xfId="57" applyNumberFormat="1" applyFont="1" applyAlignment="1">
      <alignment horizontal="right" wrapText="1"/>
      <protection/>
    </xf>
    <xf numFmtId="179" fontId="2" fillId="0" borderId="0" xfId="42" applyNumberFormat="1" applyFont="1" applyBorder="1" applyAlignment="1">
      <alignment horizontal="center"/>
    </xf>
    <xf numFmtId="180" fontId="2" fillId="0" borderId="0" xfId="0" applyNumberFormat="1" applyFont="1" applyAlignment="1">
      <alignment/>
    </xf>
    <xf numFmtId="0" fontId="14" fillId="0" borderId="0" xfId="0" applyFont="1" applyAlignment="1">
      <alignment/>
    </xf>
    <xf numFmtId="3" fontId="2" fillId="52" borderId="0" xfId="0" applyNumberFormat="1" applyFont="1" applyFill="1" applyAlignment="1">
      <alignment/>
    </xf>
    <xf numFmtId="0" fontId="28" fillId="49" borderId="19" xfId="0" applyFont="1" applyFill="1" applyBorder="1" applyAlignment="1">
      <alignment horizontal="right" wrapText="1"/>
    </xf>
    <xf numFmtId="0" fontId="5" fillId="0" borderId="0" xfId="58" applyFont="1">
      <alignment/>
      <protection/>
    </xf>
    <xf numFmtId="166" fontId="5" fillId="36" borderId="21" xfId="44" applyNumberFormat="1" applyFont="1" applyFill="1" applyBorder="1" applyAlignment="1">
      <alignment/>
    </xf>
    <xf numFmtId="0" fontId="3" fillId="49" borderId="19" xfId="0" applyFont="1" applyFill="1" applyBorder="1" applyAlignment="1">
      <alignment horizontal="center" vertical="center" wrapText="1"/>
    </xf>
    <xf numFmtId="0" fontId="5" fillId="49" borderId="19" xfId="0" applyFont="1" applyFill="1" applyBorder="1" applyAlignment="1">
      <alignment vertical="center" wrapText="1"/>
    </xf>
    <xf numFmtId="0" fontId="5" fillId="49" borderId="19" xfId="0" applyFont="1" applyFill="1" applyBorder="1" applyAlignment="1">
      <alignment horizontal="center" vertical="center" wrapText="1"/>
    </xf>
    <xf numFmtId="0" fontId="3" fillId="49" borderId="19" xfId="0" applyFont="1" applyFill="1" applyBorder="1" applyAlignment="1">
      <alignment vertical="center"/>
    </xf>
    <xf numFmtId="4" fontId="0" fillId="0" borderId="0" xfId="58" applyNumberFormat="1" applyAlignment="1">
      <alignment horizontal="righ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VI Phase III - GIS v AIS Costs" xfId="59"/>
    <cellStyle name="Note" xfId="60"/>
    <cellStyle name="Output" xfId="61"/>
    <cellStyle name="Percent" xfId="62"/>
    <cellStyle name="Percent 2" xfId="63"/>
    <cellStyle name="PSChar" xfId="64"/>
    <cellStyle name="Title" xfId="65"/>
    <cellStyle name="Total" xfId="66"/>
    <cellStyle name="Warning Text" xfId="67"/>
  </cellStyles>
  <dxfs count="25">
    <dxf>
      <font>
        <color rgb="FFFF0000"/>
      </font>
    </dxf>
    <dxf>
      <font>
        <color rgb="FFFF0000"/>
      </font>
    </dxf>
    <dxf>
      <fill>
        <patternFill>
          <bgColor indexed="26"/>
        </patternFill>
      </fill>
    </dxf>
    <dxf>
      <fill>
        <patternFill>
          <bgColor indexed="2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4</xdr:row>
      <xdr:rowOff>0</xdr:rowOff>
    </xdr:from>
    <xdr:to>
      <xdr:col>9</xdr:col>
      <xdr:colOff>419100</xdr:colOff>
      <xdr:row>7</xdr:row>
      <xdr:rowOff>85725</xdr:rowOff>
    </xdr:to>
    <xdr:sp>
      <xdr:nvSpPr>
        <xdr:cNvPr id="1" name="Rectangle 1"/>
        <xdr:cNvSpPr>
          <a:spLocks/>
        </xdr:cNvSpPr>
      </xdr:nvSpPr>
      <xdr:spPr>
        <a:xfrm>
          <a:off x="4191000" y="723900"/>
          <a:ext cx="1714500"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Summary worksheet</a:t>
          </a:r>
        </a:p>
      </xdr:txBody>
    </xdr:sp>
    <xdr:clientData/>
  </xdr:twoCellAnchor>
  <xdr:twoCellAnchor>
    <xdr:from>
      <xdr:col>1</xdr:col>
      <xdr:colOff>571500</xdr:colOff>
      <xdr:row>7</xdr:row>
      <xdr:rowOff>142875</xdr:rowOff>
    </xdr:from>
    <xdr:to>
      <xdr:col>4</xdr:col>
      <xdr:colOff>276225</xdr:colOff>
      <xdr:row>12</xdr:row>
      <xdr:rowOff>76200</xdr:rowOff>
    </xdr:to>
    <xdr:sp>
      <xdr:nvSpPr>
        <xdr:cNvPr id="2" name="Oval 4"/>
        <xdr:cNvSpPr>
          <a:spLocks/>
        </xdr:cNvSpPr>
      </xdr:nvSpPr>
      <xdr:spPr>
        <a:xfrm>
          <a:off x="1181100" y="1352550"/>
          <a:ext cx="1533525" cy="742950"/>
        </a:xfrm>
        <a:prstGeom prst="ellipse">
          <a:avLst/>
        </a:prstGeom>
        <a:solidFill>
          <a:srgbClr val="C6D9F1"/>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PAD  Budget</a:t>
          </a:r>
        </a:p>
      </xdr:txBody>
    </xdr:sp>
    <xdr:clientData/>
  </xdr:twoCellAnchor>
  <xdr:twoCellAnchor>
    <xdr:from>
      <xdr:col>11</xdr:col>
      <xdr:colOff>19050</xdr:colOff>
      <xdr:row>8</xdr:row>
      <xdr:rowOff>28575</xdr:rowOff>
    </xdr:from>
    <xdr:to>
      <xdr:col>13</xdr:col>
      <xdr:colOff>314325</xdr:colOff>
      <xdr:row>12</xdr:row>
      <xdr:rowOff>66675</xdr:rowOff>
    </xdr:to>
    <xdr:sp>
      <xdr:nvSpPr>
        <xdr:cNvPr id="3" name="Oval 7"/>
        <xdr:cNvSpPr>
          <a:spLocks/>
        </xdr:cNvSpPr>
      </xdr:nvSpPr>
      <xdr:spPr>
        <a:xfrm>
          <a:off x="6724650" y="1400175"/>
          <a:ext cx="1514475" cy="685800"/>
        </a:xfrm>
        <a:prstGeom prst="ellipse">
          <a:avLst/>
        </a:prstGeom>
        <a:solidFill>
          <a:srgbClr val="C6D9F1"/>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Actual</a:t>
          </a:r>
          <a:r>
            <a:rPr lang="en-US" cap="none" sz="1100" b="0" i="0" u="none" baseline="0">
              <a:solidFill>
                <a:srgbClr val="FFFFFF"/>
              </a:solidFill>
            </a:rPr>
            <a:t> Spend</a:t>
          </a:r>
        </a:p>
      </xdr:txBody>
    </xdr:sp>
    <xdr:clientData/>
  </xdr:twoCellAnchor>
  <xdr:twoCellAnchor>
    <xdr:from>
      <xdr:col>8</xdr:col>
      <xdr:colOff>85725</xdr:colOff>
      <xdr:row>22</xdr:row>
      <xdr:rowOff>114300</xdr:rowOff>
    </xdr:from>
    <xdr:to>
      <xdr:col>8</xdr:col>
      <xdr:colOff>190500</xdr:colOff>
      <xdr:row>27</xdr:row>
      <xdr:rowOff>85725</xdr:rowOff>
    </xdr:to>
    <xdr:sp>
      <xdr:nvSpPr>
        <xdr:cNvPr id="4" name="Down Arrow 8"/>
        <xdr:cNvSpPr>
          <a:spLocks/>
        </xdr:cNvSpPr>
      </xdr:nvSpPr>
      <xdr:spPr>
        <a:xfrm rot="10800000">
          <a:off x="4962525" y="3752850"/>
          <a:ext cx="104775" cy="781050"/>
        </a:xfrm>
        <a:prstGeom prst="downArrow">
          <a:avLst>
            <a:gd name="adj" fmla="val 4362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18</xdr:row>
      <xdr:rowOff>104775</xdr:rowOff>
    </xdr:from>
    <xdr:to>
      <xdr:col>9</xdr:col>
      <xdr:colOff>447675</xdr:colOff>
      <xdr:row>22</xdr:row>
      <xdr:rowOff>28575</xdr:rowOff>
    </xdr:to>
    <xdr:sp>
      <xdr:nvSpPr>
        <xdr:cNvPr id="5" name="Rectangle 11"/>
        <xdr:cNvSpPr>
          <a:spLocks/>
        </xdr:cNvSpPr>
      </xdr:nvSpPr>
      <xdr:spPr>
        <a:xfrm>
          <a:off x="4219575" y="3095625"/>
          <a:ext cx="1714500"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Cost</a:t>
          </a:r>
          <a:r>
            <a:rPr lang="en-US" cap="none" sz="1100" b="0" i="0" u="none" baseline="0">
              <a:solidFill>
                <a:srgbClr val="FFFFFF"/>
              </a:solidFill>
            </a:rPr>
            <a:t> Assignment</a:t>
          </a:r>
          <a:r>
            <a:rPr lang="en-US" cap="none" sz="1100" b="0" i="0" u="none" baseline="0">
              <a:solidFill>
                <a:srgbClr val="FFFFFF"/>
              </a:solidFill>
            </a:rPr>
            <a:t> worksheet</a:t>
          </a:r>
        </a:p>
      </xdr:txBody>
    </xdr:sp>
    <xdr:clientData/>
  </xdr:twoCellAnchor>
  <xdr:twoCellAnchor>
    <xdr:from>
      <xdr:col>6</xdr:col>
      <xdr:colOff>57150</xdr:colOff>
      <xdr:row>8</xdr:row>
      <xdr:rowOff>38100</xdr:rowOff>
    </xdr:from>
    <xdr:to>
      <xdr:col>6</xdr:col>
      <xdr:colOff>152400</xdr:colOff>
      <xdr:row>16</xdr:row>
      <xdr:rowOff>123825</xdr:rowOff>
    </xdr:to>
    <xdr:sp>
      <xdr:nvSpPr>
        <xdr:cNvPr id="6" name="Down Arrow 14"/>
        <xdr:cNvSpPr>
          <a:spLocks/>
        </xdr:cNvSpPr>
      </xdr:nvSpPr>
      <xdr:spPr>
        <a:xfrm rot="12878544">
          <a:off x="3714750" y="1409700"/>
          <a:ext cx="95250" cy="1381125"/>
        </a:xfrm>
        <a:prstGeom prst="downArrow">
          <a:avLst>
            <a:gd name="adj" fmla="val 46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8</xdr:row>
      <xdr:rowOff>47625</xdr:rowOff>
    </xdr:from>
    <xdr:to>
      <xdr:col>10</xdr:col>
      <xdr:colOff>28575</xdr:colOff>
      <xdr:row>16</xdr:row>
      <xdr:rowOff>104775</xdr:rowOff>
    </xdr:to>
    <xdr:sp>
      <xdr:nvSpPr>
        <xdr:cNvPr id="7" name="Down Arrow 16"/>
        <xdr:cNvSpPr>
          <a:spLocks/>
        </xdr:cNvSpPr>
      </xdr:nvSpPr>
      <xdr:spPr>
        <a:xfrm rot="8930259">
          <a:off x="6048375" y="1419225"/>
          <a:ext cx="76200" cy="1352550"/>
        </a:xfrm>
        <a:prstGeom prst="downArrow">
          <a:avLst>
            <a:gd name="adj" fmla="val 4725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28</xdr:row>
      <xdr:rowOff>28575</xdr:rowOff>
    </xdr:from>
    <xdr:to>
      <xdr:col>9</xdr:col>
      <xdr:colOff>381000</xdr:colOff>
      <xdr:row>31</xdr:row>
      <xdr:rowOff>114300</xdr:rowOff>
    </xdr:to>
    <xdr:sp>
      <xdr:nvSpPr>
        <xdr:cNvPr id="8" name="Rectangle 18"/>
        <xdr:cNvSpPr>
          <a:spLocks/>
        </xdr:cNvSpPr>
      </xdr:nvSpPr>
      <xdr:spPr>
        <a:xfrm>
          <a:off x="4152900" y="4638675"/>
          <a:ext cx="1714500" cy="5715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CA</a:t>
          </a:r>
          <a:r>
            <a:rPr lang="en-US" cap="none" sz="1100" b="0" i="0" u="none" baseline="0">
              <a:solidFill>
                <a:srgbClr val="FFFFFF"/>
              </a:solidFill>
            </a:rPr>
            <a:t> level </a:t>
          </a:r>
          <a:r>
            <a:rPr lang="en-US" cap="none" sz="1100" b="0" i="0" u="none" baseline="0">
              <a:solidFill>
                <a:srgbClr val="FFFFFF"/>
              </a:solidFill>
            </a:rPr>
            <a:t>worksheet</a:t>
          </a:r>
        </a:p>
      </xdr:txBody>
    </xdr:sp>
    <xdr:clientData/>
  </xdr:twoCellAnchor>
  <xdr:twoCellAnchor>
    <xdr:from>
      <xdr:col>7</xdr:col>
      <xdr:colOff>38100</xdr:colOff>
      <xdr:row>38</xdr:row>
      <xdr:rowOff>152400</xdr:rowOff>
    </xdr:from>
    <xdr:to>
      <xdr:col>9</xdr:col>
      <xdr:colOff>533400</xdr:colOff>
      <xdr:row>42</xdr:row>
      <xdr:rowOff>66675</xdr:rowOff>
    </xdr:to>
    <xdr:sp>
      <xdr:nvSpPr>
        <xdr:cNvPr id="9" name="Rectangle 19"/>
        <xdr:cNvSpPr>
          <a:spLocks/>
        </xdr:cNvSpPr>
      </xdr:nvSpPr>
      <xdr:spPr>
        <a:xfrm>
          <a:off x="4305300" y="6381750"/>
          <a:ext cx="17145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UR-Summary PAD </a:t>
          </a:r>
          <a:r>
            <a:rPr lang="en-US" cap="none" sz="1100" b="0" i="0" u="none" baseline="0">
              <a:solidFill>
                <a:srgbClr val="FFFFFF"/>
              </a:solidFill>
            </a:rPr>
            <a:t>worksheet</a:t>
          </a:r>
        </a:p>
      </xdr:txBody>
    </xdr:sp>
    <xdr:clientData/>
  </xdr:twoCellAnchor>
  <xdr:twoCellAnchor>
    <xdr:from>
      <xdr:col>8</xdr:col>
      <xdr:colOff>123825</xdr:colOff>
      <xdr:row>32</xdr:row>
      <xdr:rowOff>47625</xdr:rowOff>
    </xdr:from>
    <xdr:to>
      <xdr:col>8</xdr:col>
      <xdr:colOff>209550</xdr:colOff>
      <xdr:row>37</xdr:row>
      <xdr:rowOff>152400</xdr:rowOff>
    </xdr:to>
    <xdr:sp>
      <xdr:nvSpPr>
        <xdr:cNvPr id="10" name="Down Arrow 21"/>
        <xdr:cNvSpPr>
          <a:spLocks/>
        </xdr:cNvSpPr>
      </xdr:nvSpPr>
      <xdr:spPr>
        <a:xfrm rot="10800000">
          <a:off x="5000625" y="5305425"/>
          <a:ext cx="85725" cy="914400"/>
        </a:xfrm>
        <a:prstGeom prst="downArrow">
          <a:avLst>
            <a:gd name="adj" fmla="val 4546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466725</xdr:colOff>
      <xdr:row>33</xdr:row>
      <xdr:rowOff>57150</xdr:rowOff>
    </xdr:from>
    <xdr:ext cx="1981200" cy="266700"/>
    <xdr:sp>
      <xdr:nvSpPr>
        <xdr:cNvPr id="11" name="TextBox 22"/>
        <xdr:cNvSpPr txBox="1">
          <a:spLocks noChangeArrowheads="1"/>
        </xdr:cNvSpPr>
      </xdr:nvSpPr>
      <xdr:spPr>
        <a:xfrm>
          <a:off x="5343525" y="5476875"/>
          <a:ext cx="1981200" cy="266700"/>
        </a:xfrm>
        <a:prstGeom prst="rect">
          <a:avLst/>
        </a:prstGeom>
        <a:solidFill>
          <a:srgbClr val="FFFFFF"/>
        </a:solid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Calibri"/>
              <a:ea typeface="Calibri"/>
              <a:cs typeface="Calibri"/>
            </a:rPr>
            <a:t>data transposed</a:t>
          </a:r>
          <a:r>
            <a:rPr lang="en-US" cap="none" sz="1100" b="0" i="0" u="none" baseline="0">
              <a:solidFill>
                <a:srgbClr val="000000"/>
              </a:solidFill>
              <a:latin typeface="Calibri"/>
              <a:ea typeface="Calibri"/>
              <a:cs typeface="Calibri"/>
            </a:rPr>
            <a:t> and formatted</a:t>
          </a:r>
        </a:p>
      </xdr:txBody>
    </xdr:sp>
    <xdr:clientData/>
  </xdr:oneCellAnchor>
  <xdr:twoCellAnchor>
    <xdr:from>
      <xdr:col>8</xdr:col>
      <xdr:colOff>95250</xdr:colOff>
      <xdr:row>8</xdr:row>
      <xdr:rowOff>85725</xdr:rowOff>
    </xdr:from>
    <xdr:to>
      <xdr:col>8</xdr:col>
      <xdr:colOff>180975</xdr:colOff>
      <xdr:row>18</xdr:row>
      <xdr:rowOff>38100</xdr:rowOff>
    </xdr:to>
    <xdr:sp>
      <xdr:nvSpPr>
        <xdr:cNvPr id="12" name="Down Arrow 23"/>
        <xdr:cNvSpPr>
          <a:spLocks/>
        </xdr:cNvSpPr>
      </xdr:nvSpPr>
      <xdr:spPr>
        <a:xfrm rot="10800000">
          <a:off x="4972050" y="1457325"/>
          <a:ext cx="85725" cy="1571625"/>
        </a:xfrm>
        <a:prstGeom prst="downArrow">
          <a:avLst>
            <a:gd name="adj" fmla="val 47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16</xdr:row>
      <xdr:rowOff>114300</xdr:rowOff>
    </xdr:from>
    <xdr:to>
      <xdr:col>3</xdr:col>
      <xdr:colOff>381000</xdr:colOff>
      <xdr:row>20</xdr:row>
      <xdr:rowOff>104775</xdr:rowOff>
    </xdr:to>
    <xdr:sp>
      <xdr:nvSpPr>
        <xdr:cNvPr id="13" name="Rectangle 24"/>
        <xdr:cNvSpPr>
          <a:spLocks/>
        </xdr:cNvSpPr>
      </xdr:nvSpPr>
      <xdr:spPr>
        <a:xfrm>
          <a:off x="914400" y="2781300"/>
          <a:ext cx="1295400"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2.</a:t>
          </a:r>
          <a:r>
            <a:rPr lang="en-US" cap="none" sz="1100" b="0" i="0" u="none" baseline="0">
              <a:solidFill>
                <a:srgbClr val="FFFFFF"/>
              </a:solidFill>
            </a:rPr>
            <a:t> Transmission Line Deviations</a:t>
          </a:r>
          <a:r>
            <a:rPr lang="en-US" cap="none" sz="1100" b="0" i="0" u="none" baseline="0">
              <a:solidFill>
                <a:srgbClr val="FFFFFF"/>
              </a:solidFill>
            </a:rPr>
            <a:t> worksheet</a:t>
          </a:r>
        </a:p>
      </xdr:txBody>
    </xdr:sp>
    <xdr:clientData/>
  </xdr:twoCellAnchor>
  <xdr:twoCellAnchor>
    <xdr:from>
      <xdr:col>4</xdr:col>
      <xdr:colOff>142875</xdr:colOff>
      <xdr:row>16</xdr:row>
      <xdr:rowOff>123825</xdr:rowOff>
    </xdr:from>
    <xdr:to>
      <xdr:col>6</xdr:col>
      <xdr:colOff>190500</xdr:colOff>
      <xdr:row>20</xdr:row>
      <xdr:rowOff>114300</xdr:rowOff>
    </xdr:to>
    <xdr:sp>
      <xdr:nvSpPr>
        <xdr:cNvPr id="14" name="Rectangle 25"/>
        <xdr:cNvSpPr>
          <a:spLocks/>
        </xdr:cNvSpPr>
      </xdr:nvSpPr>
      <xdr:spPr>
        <a:xfrm>
          <a:off x="2581275" y="2790825"/>
          <a:ext cx="1266825" cy="6381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3. Enabling Wks - General Civil worksheet</a:t>
          </a:r>
        </a:p>
      </xdr:txBody>
    </xdr:sp>
    <xdr:clientData/>
  </xdr:twoCellAnchor>
  <xdr:twoCellAnchor>
    <xdr:from>
      <xdr:col>10</xdr:col>
      <xdr:colOff>419100</xdr:colOff>
      <xdr:row>17</xdr:row>
      <xdr:rowOff>0</xdr:rowOff>
    </xdr:from>
    <xdr:to>
      <xdr:col>12</xdr:col>
      <xdr:colOff>514350</xdr:colOff>
      <xdr:row>20</xdr:row>
      <xdr:rowOff>19050</xdr:rowOff>
    </xdr:to>
    <xdr:sp>
      <xdr:nvSpPr>
        <xdr:cNvPr id="15" name="Rectangle 26"/>
        <xdr:cNvSpPr>
          <a:spLocks/>
        </xdr:cNvSpPr>
      </xdr:nvSpPr>
      <xdr:spPr>
        <a:xfrm>
          <a:off x="6515100" y="2828925"/>
          <a:ext cx="1314450" cy="5048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Actual</a:t>
          </a:r>
          <a:r>
            <a:rPr lang="en-US" cap="none" sz="1100" b="0" i="0" u="none" baseline="0">
              <a:solidFill>
                <a:srgbClr val="FFFFFF"/>
              </a:solidFill>
            </a:rPr>
            <a:t> Breakdown </a:t>
          </a:r>
          <a:r>
            <a:rPr lang="en-US" cap="none" sz="1100" b="0" i="0" u="none" baseline="0">
              <a:solidFill>
                <a:srgbClr val="FFFFFF"/>
              </a:solidFill>
            </a:rPr>
            <a:t> worksheet</a:t>
          </a:r>
        </a:p>
      </xdr:txBody>
    </xdr:sp>
    <xdr:clientData/>
  </xdr:twoCellAnchor>
  <xdr:twoCellAnchor>
    <xdr:from>
      <xdr:col>3</xdr:col>
      <xdr:colOff>19050</xdr:colOff>
      <xdr:row>12</xdr:row>
      <xdr:rowOff>9525</xdr:rowOff>
    </xdr:from>
    <xdr:to>
      <xdr:col>6</xdr:col>
      <xdr:colOff>142875</xdr:colOff>
      <xdr:row>12</xdr:row>
      <xdr:rowOff>123825</xdr:rowOff>
    </xdr:to>
    <xdr:sp>
      <xdr:nvSpPr>
        <xdr:cNvPr id="16" name="Down Arrow 27"/>
        <xdr:cNvSpPr>
          <a:spLocks/>
        </xdr:cNvSpPr>
      </xdr:nvSpPr>
      <xdr:spPr>
        <a:xfrm rot="13938683">
          <a:off x="1847850" y="2028825"/>
          <a:ext cx="1952625" cy="114300"/>
        </a:xfrm>
        <a:prstGeom prst="downArrow">
          <a:avLst>
            <a:gd name="adj" fmla="val 4704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323850</xdr:colOff>
      <xdr:row>24</xdr:row>
      <xdr:rowOff>28575</xdr:rowOff>
    </xdr:from>
    <xdr:ext cx="2695575" cy="438150"/>
    <xdr:sp>
      <xdr:nvSpPr>
        <xdr:cNvPr id="17" name="TextBox 28"/>
        <xdr:cNvSpPr txBox="1">
          <a:spLocks noChangeArrowheads="1"/>
        </xdr:cNvSpPr>
      </xdr:nvSpPr>
      <xdr:spPr>
        <a:xfrm>
          <a:off x="5200650" y="3990975"/>
          <a:ext cx="2695575" cy="438150"/>
        </a:xfrm>
        <a:prstGeom prst="rect">
          <a:avLst/>
        </a:prstGeom>
        <a:solidFill>
          <a:srgbClr val="FFFFFF"/>
        </a:solid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rPr>
            <a:t>Matrix assigning costs from original PAD structure to categories used for Application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95250</xdr:rowOff>
    </xdr:from>
    <xdr:to>
      <xdr:col>12</xdr:col>
      <xdr:colOff>66675</xdr:colOff>
      <xdr:row>19</xdr:row>
      <xdr:rowOff>38100</xdr:rowOff>
    </xdr:to>
    <xdr:sp>
      <xdr:nvSpPr>
        <xdr:cNvPr id="1" name="TextBox 1"/>
        <xdr:cNvSpPr txBox="1">
          <a:spLocks noChangeArrowheads="1"/>
        </xdr:cNvSpPr>
      </xdr:nvSpPr>
      <xdr:spPr>
        <a:xfrm>
          <a:off x="95250" y="257175"/>
          <a:ext cx="8953500" cy="6438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NOTES ON SUBCATEGORY</a:t>
          </a:r>
          <a:r>
            <a:rPr lang="en-US" cap="none" sz="1100" b="1" i="0" u="none" baseline="0">
              <a:solidFill>
                <a:srgbClr val="000000"/>
              </a:solidFill>
              <a:latin typeface="Calibri"/>
              <a:ea typeface="Calibri"/>
              <a:cs typeface="Calibri"/>
            </a:rPr>
            <a:t> COST BREAKDOWN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"Summary" sheet aligns the overspend for the original PAD budget with the Actual spend, the alignment is by 'Subcategory'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nature of the overspend did not align well with project Work Breakdown Structure (WBS) so 'Categories' and 'Subcategories' were specifically  developed to support the explanation of the overspend.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Categories are defined by mapping  WBS Work Packages as shown in sheet 'Cost Assignment' of this workbook, however, at the next level down Subcategory breakdown required identification of more specific detailed cost information from the various contract price schedules, FMIS and other sources then prorating the Category balance.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Methodology for Subcategory breakdown varies by Category is as follows: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 Enabling Works General Civil  &amp;  </a:t>
          </a:r>
          <a:r>
            <a:rPr lang="en-US" cap="none" sz="1100" b="1" i="0" u="none" baseline="0">
              <a:solidFill>
                <a:srgbClr val="000000"/>
              </a:solidFill>
              <a:latin typeface="Calibri"/>
              <a:ea typeface="Calibri"/>
              <a:cs typeface="Calibri"/>
            </a:rPr>
            <a:t>B - Transmission Line Deviations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original budget is a breakdown of the category  total based on the total of relevant Items in </a:t>
          </a:r>
          <a:r>
            <a:rPr lang="en-US" cap="none" sz="1100" b="0" i="0" u="none" baseline="0">
              <a:solidFill>
                <a:srgbClr val="000000"/>
              </a:solidFill>
              <a:latin typeface="Calibri"/>
              <a:ea typeface="Calibri"/>
              <a:cs typeface="Calibri"/>
            </a:rPr>
            <a:t>sheet </a:t>
          </a:r>
          <a:r>
            <a:rPr lang="en-US" cap="none" sz="1100" b="0" i="0" u="sng" baseline="0">
              <a:solidFill>
                <a:srgbClr val="000000"/>
              </a:solidFill>
              <a:latin typeface="Calibri"/>
              <a:ea typeface="Calibri"/>
              <a:cs typeface="Calibri"/>
            </a:rPr>
            <a:t>'2.Transmission Line Deviations</a:t>
          </a:r>
          <a:r>
            <a:rPr lang="en-US" cap="none" sz="1100" b="0" i="0" u="none" baseline="0">
              <a:solidFill>
                <a:srgbClr val="000000"/>
              </a:solidFill>
              <a:latin typeface="Calibri"/>
              <a:ea typeface="Calibri"/>
              <a:cs typeface="Calibri"/>
            </a:rPr>
            <a:t>' and sheet </a:t>
          </a:r>
          <a:r>
            <a:rPr lang="en-US" cap="none" sz="1100" b="0" i="0" u="sng" baseline="0">
              <a:solidFill>
                <a:srgbClr val="000000"/>
              </a:solidFill>
              <a:latin typeface="Calibri"/>
              <a:ea typeface="Calibri"/>
              <a:cs typeface="Calibri"/>
            </a:rPr>
            <a:t>'3.Enabling Wks - General Civil</a:t>
          </a:r>
          <a:r>
            <a:rPr lang="en-US" cap="none" sz="1100" b="0" i="0" u="none" baseline="0">
              <a:solidFill>
                <a:srgbClr val="000000"/>
              </a:solidFill>
              <a:latin typeface="Calibri"/>
              <a:ea typeface="Calibri"/>
              <a:cs typeface="Calibri"/>
            </a:rPr>
            <a:t>' from</a:t>
          </a:r>
          <a:r>
            <a:rPr lang="en-US" cap="none" sz="1100" b="0" i="0" u="none" baseline="0">
              <a:solidFill>
                <a:srgbClr val="000000"/>
              </a:solidFill>
              <a:latin typeface="Calibri"/>
              <a:ea typeface="Calibri"/>
              <a:cs typeface="Calibri"/>
            </a:rPr>
            <a:t> the original PAD estimate work book .  For Category A, this is adjusted prorata to balance category total as calclulated in sheet 'Overspend' (i.e. 4% different).  Category B picks out the single relevant line item for Subcategory  F including PAD budget contingency of 10% with subcategory O being the balance.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Actuals are </a:t>
          </a:r>
          <a:r>
            <a:rPr lang="en-US" cap="none" sz="1100" b="0" i="0" u="none" baseline="0">
              <a:solidFill>
                <a:srgbClr val="000000"/>
              </a:solidFill>
              <a:latin typeface="Calibri"/>
              <a:ea typeface="Calibri"/>
              <a:cs typeface="Calibri"/>
            </a:rPr>
            <a:t>mapped for Enabling Works Installation contract costs against payment schedule item from workbook  </a:t>
          </a:r>
          <a:r>
            <a:rPr lang="en-US" cap="none" sz="1100" b="0" i="1" u="none" baseline="0">
              <a:solidFill>
                <a:srgbClr val="000000"/>
              </a:solidFill>
              <a:latin typeface="Calibri"/>
              <a:ea typeface="Calibri"/>
              <a:cs typeface="Calibri"/>
            </a:rPr>
            <a:t>'OTA Enabling Works Price Schedule September_10_Changes_2_Payment DFA Submission Com Com Appln. xls</a:t>
          </a:r>
          <a:r>
            <a:rPr lang="en-US" cap="none" sz="1100" b="0" i="0" u="none" baseline="0">
              <a:solidFill>
                <a:srgbClr val="000000"/>
              </a:solidFill>
              <a:latin typeface="Calibri"/>
              <a:ea typeface="Calibri"/>
              <a:cs typeface="Calibri"/>
            </a:rPr>
            <a:t>' sheet ‘S</a:t>
          </a:r>
          <a:r>
            <a:rPr lang="en-US" cap="none" sz="1100" b="0" i="1" u="none" baseline="0">
              <a:solidFill>
                <a:srgbClr val="000000"/>
              </a:solidFill>
              <a:latin typeface="Calibri"/>
              <a:ea typeface="Calibri"/>
              <a:cs typeface="Calibri"/>
            </a:rPr>
            <a:t>chedule</a:t>
          </a:r>
          <a:r>
            <a:rPr lang="en-US" cap="none" sz="1100" b="0" i="0" u="none" baseline="0">
              <a:solidFill>
                <a:srgbClr val="000000"/>
              </a:solidFill>
              <a:latin typeface="Calibri"/>
              <a:ea typeface="Calibri"/>
              <a:cs typeface="Calibri"/>
            </a:rPr>
            <a:t>’  (where approximately 900 payment schedule items are mapped to Category and Subcategory as identified in column A and B respectively.  This identifies direct construction cost only. The Category balance comprising project management (TP and Contractor) and design costs as identified at Category level are then prorated by specifically identified direct Subcategory construction cost.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 - EW Transition Station &amp; cable Termination Design &amp; Install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PAD  budget and actuals are mapped from Work Packages are as shown in sheet 'Cost Assignment' and adjusted prorata for project managment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 - Enabling Works Procurement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PAD budget and actuals for 'Protection Equipment' are from a single work package and 'Other Procurement' is the category balance.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GJO 13/9/12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id_Economics\Cost%20tracking\Cost%20overspends\Otahuhu%20diversity\GO%20sub-categories\PAD%20Budget%20by%20WBS%202%20201205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annonk\Local%20Settings\Temporary%20Internet%20Files\Content.Outlook\XEO44249\PAD%20Budget%20by%20WBS%202%20201205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DASHB$\TEMP\Book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id_Economics\Cost%20tracking\Cost%20overspends\Otahuhu%20diversity\GO%20sub-categories\OTA%20Enabling%20Works%20Price%20Schedule%20September_10_Changes_2_Payment%20DFA%20Submission%20Com%20Com%20Appl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TEMP\030611_pst_sc_svc_statco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OAKDENG$\Documents%20and%20Settings\heaneyj\Local%20Settings\Temporary%20Internet%20Files\ODV_Template_jan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A Level"/>
      <sheetName val=" UR -Summary "/>
      <sheetName val="UR-Summary PAD"/>
      <sheetName val="0. 220 kV Cable"/>
      <sheetName val="1. Enabling Wks 110kV Tie Lines"/>
      <sheetName val="2. Enabling Wks OTA-PEN C"/>
      <sheetName val="3.Enabling Wks - General Civil"/>
      <sheetName val="4. Henderson Transition "/>
      <sheetName val="5. Southdown Transition "/>
      <sheetName val="6. Huntly Transition"/>
      <sheetName val="7. Ohinewai Transition "/>
      <sheetName val="8. OTA C Transition"/>
      <sheetName val="9. Stations - AIS EW"/>
      <sheetName val="10. Stations -GIS Section"/>
      <sheetName val="GIS prices"/>
      <sheetName val="Stations Coding"/>
      <sheetName val="RTU Schedule "/>
      <sheetName val="LINES - Complete Assemblies"/>
      <sheetName val="LINES - Components"/>
      <sheetName val="People"/>
      <sheetName val="Sites"/>
    </sheetNames>
    <sheetDataSet>
      <sheetData sheetId="16">
        <row r="4">
          <cell r="A4" t="str">
            <v>Prot</v>
          </cell>
          <cell r="B4" t="str">
            <v>Protection</v>
          </cell>
        </row>
        <row r="5">
          <cell r="A5" t="str">
            <v>CCA--___-</v>
          </cell>
          <cell r="B5" t="str">
            <v>Coupling Capacitor (for PLC)</v>
          </cell>
          <cell r="C5" t="str">
            <v>CCA--___-</v>
          </cell>
          <cell r="D5" t="str">
            <v>No</v>
          </cell>
          <cell r="E5">
            <v>0.1</v>
          </cell>
          <cell r="F5">
            <v>0.2</v>
          </cell>
        </row>
        <row r="6">
          <cell r="A6" t="str">
            <v>CTRL-___-1-M </v>
          </cell>
          <cell r="B6" t="str">
            <v>Multi core Control Cables - Average length 100 metres</v>
          </cell>
          <cell r="C6" t="str">
            <v>CTRL-___-1-M </v>
          </cell>
          <cell r="D6" t="str">
            <v>Set</v>
          </cell>
          <cell r="E6">
            <v>9267.05</v>
          </cell>
          <cell r="F6">
            <v>22371.77</v>
          </cell>
        </row>
        <row r="7">
          <cell r="A7" t="str">
            <v>DR--___-</v>
          </cell>
          <cell r="B7" t="str">
            <v>Disturbance Recorders</v>
          </cell>
          <cell r="C7" t="str">
            <v>DR--___-</v>
          </cell>
          <cell r="D7" t="str">
            <v>No</v>
          </cell>
          <cell r="E7">
            <v>30000</v>
          </cell>
          <cell r="F7">
            <v>60000</v>
          </cell>
        </row>
        <row r="8">
          <cell r="A8" t="str">
            <v>HVT-EST_-SET-</v>
          </cell>
          <cell r="B8" t="str">
            <v>HV Test set used for calibration of metering equipment. Cost includes hire, transportation (allowance of $6k to cross C/Strait)</v>
          </cell>
          <cell r="C8" t="str">
            <v>HVT-EST_-SET-</v>
          </cell>
          <cell r="D8" t="str">
            <v>set</v>
          </cell>
          <cell r="E8">
            <v>10000</v>
          </cell>
          <cell r="F8">
            <v>9000</v>
          </cell>
        </row>
        <row r="9">
          <cell r="A9" t="str">
            <v>NOT-USED-PRO-</v>
          </cell>
          <cell r="B9" t="str">
            <v>Blank Code Used as place filler</v>
          </cell>
          <cell r="C9" t="str">
            <v>NOT-USED-PRO-</v>
          </cell>
          <cell r="D9" t="str">
            <v>No</v>
          </cell>
          <cell r="E9">
            <v>0</v>
          </cell>
          <cell r="F9">
            <v>0</v>
          </cell>
        </row>
        <row r="10">
          <cell r="A10" t="str">
            <v>PLC--___-</v>
          </cell>
          <cell r="B10" t="str">
            <v>Power Line Carrier</v>
          </cell>
          <cell r="C10" t="str">
            <v>PLC--___-</v>
          </cell>
          <cell r="D10" t="str">
            <v>No</v>
          </cell>
          <cell r="E10">
            <v>0.1</v>
          </cell>
          <cell r="F10">
            <v>0.2</v>
          </cell>
        </row>
        <row r="11">
          <cell r="A11" t="str">
            <v>PRO_-_BUS-___-</v>
          </cell>
          <cell r="B11" t="str">
            <v>Bus Protection Scheme</v>
          </cell>
          <cell r="C11" t="str">
            <v>PRO_-_BUS-___-</v>
          </cell>
          <cell r="D11" t="str">
            <v>set</v>
          </cell>
          <cell r="E11">
            <v>36300</v>
          </cell>
          <cell r="F11">
            <v>84700</v>
          </cell>
        </row>
        <row r="12">
          <cell r="A12" t="str">
            <v>PRO_-_CBF-___-</v>
          </cell>
          <cell r="B12" t="str">
            <v>CB Fail Protection</v>
          </cell>
          <cell r="C12" t="str">
            <v>PRO_-_CBF-___-</v>
          </cell>
          <cell r="D12" t="str">
            <v>set</v>
          </cell>
          <cell r="E12">
            <v>7350</v>
          </cell>
          <cell r="F12">
            <v>17150</v>
          </cell>
        </row>
        <row r="13">
          <cell r="A13" t="str">
            <v>PRO_-_FEE-___-</v>
          </cell>
          <cell r="B13" t="str">
            <v>Feeder protection</v>
          </cell>
          <cell r="C13" t="str">
            <v>PRO_-_FEE-___-</v>
          </cell>
          <cell r="D13" t="str">
            <v>set</v>
          </cell>
          <cell r="E13">
            <v>5500</v>
          </cell>
          <cell r="F13">
            <v>13000</v>
          </cell>
        </row>
        <row r="14">
          <cell r="A14" t="str">
            <v>PRO_-_LIN-DUP-</v>
          </cell>
          <cell r="B14" t="str">
            <v>Line protection (Duplicate)</v>
          </cell>
          <cell r="C14" t="str">
            <v>PRO_-_LIN-DUP-</v>
          </cell>
          <cell r="D14" t="str">
            <v>set</v>
          </cell>
          <cell r="E14">
            <v>30000</v>
          </cell>
          <cell r="F14">
            <v>70000</v>
          </cell>
        </row>
        <row r="15">
          <cell r="A15" t="str">
            <v>PRO_-_LIN-SIN-</v>
          </cell>
          <cell r="B15" t="str">
            <v>Line protection (single)</v>
          </cell>
          <cell r="C15" t="str">
            <v>PRO_-_LIN-SIN-</v>
          </cell>
          <cell r="D15" t="str">
            <v>set</v>
          </cell>
          <cell r="E15">
            <v>15000</v>
          </cell>
          <cell r="F15">
            <v>35000</v>
          </cell>
        </row>
        <row r="16">
          <cell r="A16" t="str">
            <v>PRO_-_OTH-ER-</v>
          </cell>
          <cell r="B16" t="str">
            <v>Protection (other)</v>
          </cell>
          <cell r="C16" t="str">
            <v>PRO_-_OTH-ER-</v>
          </cell>
          <cell r="D16" t="str">
            <v>set</v>
          </cell>
          <cell r="E16">
            <v>0.1</v>
          </cell>
          <cell r="F16">
            <v>0.2</v>
          </cell>
        </row>
        <row r="17">
          <cell r="A17" t="str">
            <v>PRO_-_RPC-___-</v>
          </cell>
          <cell r="B17" t="str">
            <v>Reactive Power Control (Includes a PLC, digital and analogue input and output modules, transducers etc)</v>
          </cell>
          <cell r="C17" t="str">
            <v>PRO_-_RPC-___-</v>
          </cell>
          <cell r="D17" t="str">
            <v>set</v>
          </cell>
          <cell r="E17">
            <v>0.1</v>
          </cell>
          <cell r="F17">
            <v>0.2</v>
          </cell>
        </row>
        <row r="18">
          <cell r="A18" t="str">
            <v>PRO_-_TX-___-</v>
          </cell>
          <cell r="B18" t="str">
            <v>Transformer protection</v>
          </cell>
          <cell r="C18" t="str">
            <v>PRO_-_TX-___-</v>
          </cell>
          <cell r="D18" t="str">
            <v>set</v>
          </cell>
          <cell r="E18">
            <v>22500</v>
          </cell>
          <cell r="F18">
            <v>52500</v>
          </cell>
        </row>
        <row r="19">
          <cell r="A19" t="str">
            <v>PRO_-ALA-R-M </v>
          </cell>
          <cell r="B19" t="str">
            <v>Alarm Panels (excludes Mimic etc)</v>
          </cell>
          <cell r="C19" t="str">
            <v>PRO_-ALA-R-M </v>
          </cell>
          <cell r="D19" t="str">
            <v>No</v>
          </cell>
          <cell r="E19">
            <v>0.1</v>
          </cell>
          <cell r="F19">
            <v>0.2</v>
          </cell>
        </row>
        <row r="20">
          <cell r="A20" t="str">
            <v>PRO_-ALA-R-MM</v>
          </cell>
          <cell r="B20" t="str">
            <v>Alarm Panels  Mimic</v>
          </cell>
          <cell r="C20" t="str">
            <v>PRO_-ALA-R-MM</v>
          </cell>
          <cell r="D20" t="str">
            <v>No</v>
          </cell>
          <cell r="E20">
            <v>0.1</v>
          </cell>
          <cell r="F20">
            <v>0.2</v>
          </cell>
        </row>
        <row r="21">
          <cell r="A21" t="str">
            <v>PRO_-CABI-NET-</v>
          </cell>
          <cell r="B21" t="str">
            <v>Partial prewired  cabinet either  a Comms or protection cabinet(Stock code C02002 or A040021) </v>
          </cell>
          <cell r="C21" t="str">
            <v>PRO_-CABI-NET-</v>
          </cell>
          <cell r="D21" t="str">
            <v>Ea</v>
          </cell>
          <cell r="E21">
            <v>1600</v>
          </cell>
          <cell r="F21">
            <v>3500</v>
          </cell>
        </row>
        <row r="22">
          <cell r="A22" t="str">
            <v>PRO_-CAP_-SYS-</v>
          </cell>
          <cell r="B22" t="str">
            <v>Protection Capacitor Banks (SEL 351S, SPAJ,  Cooper ixP420, Trench CP04, O/C check MTI39, ABB POW Switchsync F236 , Cabinet, test blocks,etc)</v>
          </cell>
          <cell r="C22" t="str">
            <v>PRO_-CAP_-SYS-</v>
          </cell>
          <cell r="D22" t="str">
            <v>set</v>
          </cell>
          <cell r="E22">
            <v>57196</v>
          </cell>
          <cell r="F22">
            <v>50000</v>
          </cell>
        </row>
        <row r="23">
          <cell r="A23" t="str">
            <v>REVM-METE-R-</v>
          </cell>
          <cell r="B23" t="str">
            <v>Revenue Metering consisting of "new" Quad 4 meter, metering cabinet, certification of installation by Test House, excludes the use and hirage of the Transpower  HV Test Set.</v>
          </cell>
          <cell r="C23" t="str">
            <v>REVM-METE-R-</v>
          </cell>
          <cell r="D23" t="str">
            <v>set</v>
          </cell>
          <cell r="E23">
            <v>11000</v>
          </cell>
          <cell r="F23">
            <v>35000</v>
          </cell>
        </row>
        <row r="26">
          <cell r="A26" t="str">
            <v>SCADA</v>
          </cell>
          <cell r="B26" t="str">
            <v>SCADA</v>
          </cell>
        </row>
        <row r="27">
          <cell r="A27" t="str">
            <v>GPS_-___-T-EK</v>
          </cell>
          <cell r="B27" t="str">
            <v>Tekron GPR satelite clock (time pulse generator) mounted in existing cabinet</v>
          </cell>
          <cell r="C27" t="str">
            <v>GPS_-___-T-EK</v>
          </cell>
          <cell r="D27" t="str">
            <v>set</v>
          </cell>
          <cell r="E27">
            <v>4500</v>
          </cell>
          <cell r="F27">
            <v>1500</v>
          </cell>
        </row>
        <row r="28">
          <cell r="A28" t="str">
            <v>SCA-__50-___-</v>
          </cell>
          <cell r="B28" t="str">
            <v>SCADA (C50 RTU’s) Main File plus expansion file, including cabinet</v>
          </cell>
          <cell r="C28" t="str">
            <v>SCA-__50-___-</v>
          </cell>
          <cell r="D28" t="str">
            <v>set</v>
          </cell>
          <cell r="E28">
            <v>38000</v>
          </cell>
          <cell r="F28">
            <v>15000</v>
          </cell>
        </row>
        <row r="29">
          <cell r="A29" t="str">
            <v>SCA-_D20-20C-</v>
          </cell>
          <cell r="B29" t="str">
            <v>SCADA (Harris RTU’s)  D20C mounted in existing cabinet</v>
          </cell>
          <cell r="C29" t="str">
            <v>SCA-_D20-20C-</v>
          </cell>
          <cell r="D29" t="str">
            <v>Module</v>
          </cell>
          <cell r="E29">
            <v>3450</v>
          </cell>
          <cell r="F29">
            <v>1500</v>
          </cell>
        </row>
        <row r="30">
          <cell r="A30" t="str">
            <v>SCA-_D20-20K-</v>
          </cell>
          <cell r="B30" t="str">
            <v>SCADA (Harris RTU’s) ,D20K mounted in existing cabinet</v>
          </cell>
          <cell r="C30" t="str">
            <v>SCA-_D20-20K-</v>
          </cell>
          <cell r="D30" t="str">
            <v>Module</v>
          </cell>
          <cell r="E30">
            <v>2000</v>
          </cell>
          <cell r="F30">
            <v>1500</v>
          </cell>
        </row>
        <row r="31">
          <cell r="A31" t="str">
            <v>SCA-_D20-20S-</v>
          </cell>
          <cell r="B31" t="str">
            <v>SCADA (Harris RTU’s) D20S mounted in existing cabinet</v>
          </cell>
          <cell r="C31" t="str">
            <v>SCA-_D20-20S-</v>
          </cell>
          <cell r="D31" t="str">
            <v>Module</v>
          </cell>
          <cell r="E31">
            <v>1500</v>
          </cell>
          <cell r="F31">
            <v>1500</v>
          </cell>
        </row>
        <row r="32">
          <cell r="A32" t="str">
            <v>SCA-_D20-ME-</v>
          </cell>
          <cell r="B32" t="str">
            <v>SCADA (Harris RTU’s) 1xD20ME and data display unit mounted in existing cabinet</v>
          </cell>
          <cell r="C32" t="str">
            <v>SCA-_D20-ME-</v>
          </cell>
          <cell r="D32" t="str">
            <v>set</v>
          </cell>
          <cell r="E32">
            <v>8100</v>
          </cell>
          <cell r="F32">
            <v>2500</v>
          </cell>
        </row>
        <row r="33">
          <cell r="A33" t="str">
            <v>SCA-PSC</v>
          </cell>
          <cell r="B33" t="str">
            <v>SCADA database changes to SCADA database carried out by PSC</v>
          </cell>
          <cell r="C33" t="str">
            <v>SCA-PSC</v>
          </cell>
          <cell r="D33" t="str">
            <v>Item</v>
          </cell>
          <cell r="E33">
            <v>0</v>
          </cell>
          <cell r="F33">
            <v>5000</v>
          </cell>
        </row>
        <row r="34">
          <cell r="A34" t="str">
            <v>SCA-Trans</v>
          </cell>
          <cell r="B34" t="str">
            <v>SCADA Configuration changes to SCADA carried out by Transfield</v>
          </cell>
          <cell r="C34" t="str">
            <v>SCA-Trans</v>
          </cell>
          <cell r="D34" t="str">
            <v>Item</v>
          </cell>
          <cell r="E34">
            <v>0</v>
          </cell>
          <cell r="F34">
            <v>5000</v>
          </cell>
        </row>
        <row r="35">
          <cell r="A35" t="str">
            <v>SCADA-1</v>
          </cell>
          <cell r="B35" t="str">
            <v> To Add a new SR760 or SEL 321 or SEL351S or  SEL311C or 7SA522 each (Transfield)</v>
          </cell>
          <cell r="C35" t="str">
            <v>SCADA-1</v>
          </cell>
          <cell r="D35" t="str">
            <v>No</v>
          </cell>
          <cell r="F35">
            <v>800</v>
          </cell>
        </row>
        <row r="36">
          <cell r="A36" t="str">
            <v>SCADA-2</v>
          </cell>
          <cell r="B36" t="str">
            <v>Changes to Existing IED I/O (Transfield)</v>
          </cell>
          <cell r="C36" t="str">
            <v>SCADA-2</v>
          </cell>
          <cell r="D36" t="str">
            <v>Prov Sum</v>
          </cell>
          <cell r="F36">
            <v>960</v>
          </cell>
        </row>
        <row r="37">
          <cell r="A37" t="str">
            <v>SCADA-3</v>
          </cell>
          <cell r="B37" t="str">
            <v>To add a Third Party Interconnection point (DNP3) (Transfield)</v>
          </cell>
          <cell r="C37" t="str">
            <v>SCADA-3</v>
          </cell>
          <cell r="D37" t="str">
            <v>Prov Sum</v>
          </cell>
          <cell r="F37">
            <v>1600</v>
          </cell>
        </row>
        <row r="38">
          <cell r="A38" t="str">
            <v>SCADA-4</v>
          </cell>
          <cell r="B38" t="str">
            <v>Changes to a Third Party Interconnection point (DNP3)  (Transfield)</v>
          </cell>
          <cell r="C38" t="str">
            <v>SCADA-4</v>
          </cell>
          <cell r="D38" t="str">
            <v>Prov Sum</v>
          </cell>
          <cell r="F38">
            <v>960</v>
          </cell>
        </row>
        <row r="39">
          <cell r="A39" t="str">
            <v>SCADA-5</v>
          </cell>
          <cell r="B39" t="str">
            <v>Changes to PLC I/O  (Transfield)</v>
          </cell>
          <cell r="C39" t="str">
            <v>SCADA-5</v>
          </cell>
          <cell r="D39" t="str">
            <v>Prov Sum</v>
          </cell>
          <cell r="F39">
            <v>960</v>
          </cell>
        </row>
        <row r="40">
          <cell r="A40" t="str">
            <v>SCADA-6</v>
          </cell>
          <cell r="B40" t="str">
            <v>Changes to Hardwired I/O  (Transfield)</v>
          </cell>
          <cell r="C40" t="str">
            <v>SCADA-6</v>
          </cell>
          <cell r="D40" t="str">
            <v>Prov Sum</v>
          </cell>
          <cell r="F40">
            <v>960</v>
          </cell>
        </row>
        <row r="41">
          <cell r="A41" t="str">
            <v>SCADA-7</v>
          </cell>
          <cell r="B41" t="str">
            <v>To add a new D20S, D20K, D20A, D20C (Transfield)</v>
          </cell>
          <cell r="C41" t="str">
            <v>SCADA-7</v>
          </cell>
          <cell r="D41" t="str">
            <v>No</v>
          </cell>
          <cell r="F41">
            <v>880</v>
          </cell>
        </row>
        <row r="42">
          <cell r="A42" t="str">
            <v>SCADA-8</v>
          </cell>
          <cell r="B42" t="str">
            <v>To upgrade to a D20M++ or D20ME (Transfield)</v>
          </cell>
          <cell r="C42" t="str">
            <v>SCADA-8</v>
          </cell>
          <cell r="D42" t="str">
            <v>No</v>
          </cell>
          <cell r="F42">
            <v>560</v>
          </cell>
        </row>
        <row r="43">
          <cell r="A43" t="str">
            <v>SCADA-9</v>
          </cell>
          <cell r="B43" t="str">
            <v>To add a new D20M++ or D20ME or D200/cpu and I/O (Transfield)</v>
          </cell>
          <cell r="C43" t="str">
            <v>SCADA-9</v>
          </cell>
          <cell r="D43" t="str">
            <v>No</v>
          </cell>
          <cell r="F43">
            <v>960</v>
          </cell>
        </row>
        <row r="44">
          <cell r="A44" t="str">
            <v>SCADA-10</v>
          </cell>
          <cell r="B44" t="str">
            <v>Enabling a new Application (Transfield)</v>
          </cell>
          <cell r="C44" t="str">
            <v>SCADA-10</v>
          </cell>
          <cell r="D44" t="str">
            <v>No</v>
          </cell>
          <cell r="F44">
            <v>560</v>
          </cell>
        </row>
        <row r="45">
          <cell r="A45" t="str">
            <v>SCADA-11</v>
          </cell>
          <cell r="B45" t="str">
            <v>Realflex Alarm System Additional Charge to RTU costs (Transfield)</v>
          </cell>
          <cell r="C45" t="str">
            <v>SCADA-11</v>
          </cell>
          <cell r="D45" t="str">
            <v>Prov Sum</v>
          </cell>
          <cell r="F45">
            <v>1760</v>
          </cell>
        </row>
        <row r="46">
          <cell r="A46" t="str">
            <v>SCADA-12</v>
          </cell>
          <cell r="B46" t="str">
            <v>Realflex Control System Additional Charge to RTU costs (Transfield)</v>
          </cell>
          <cell r="C46" t="str">
            <v>SCADA-12</v>
          </cell>
          <cell r="D46" t="str">
            <v>Prov Sum</v>
          </cell>
          <cell r="F46">
            <v>3680</v>
          </cell>
        </row>
        <row r="47">
          <cell r="A47" t="str">
            <v>SCADA-13</v>
          </cell>
          <cell r="B47" t="str">
            <v>Changes to or adding a Data Display Unit in Association with a single RTU (Transfield)</v>
          </cell>
          <cell r="C47" t="str">
            <v>SCADA-13</v>
          </cell>
          <cell r="D47" t="str">
            <v>Prov Sum</v>
          </cell>
          <cell r="F47">
            <v>1040</v>
          </cell>
        </row>
        <row r="48">
          <cell r="A48" t="str">
            <v>SCADA-14</v>
          </cell>
          <cell r="B48" t="str">
            <v>Changes to or adding Data Display Unit associated with a single RTU and in conjunction with I/O changes (Transfield)</v>
          </cell>
          <cell r="C48" t="str">
            <v>SCADA-14</v>
          </cell>
          <cell r="D48" t="str">
            <v>Prov Sum</v>
          </cell>
          <cell r="F48">
            <v>480</v>
          </cell>
        </row>
        <row r="49">
          <cell r="A49" t="str">
            <v>SCA-_D20-SYS-</v>
          </cell>
          <cell r="B49" t="str">
            <v>SCADA (Harris RTU’s) 1xD20ME, D20S, D20C,D20K including Tekron time pulse generator and  cabinet</v>
          </cell>
          <cell r="C49" t="str">
            <v>SCA-_D20-SYS-</v>
          </cell>
          <cell r="D49" t="str">
            <v>set</v>
          </cell>
          <cell r="E49">
            <v>24400</v>
          </cell>
          <cell r="F49">
            <v>11000</v>
          </cell>
        </row>
        <row r="52">
          <cell r="A52" t="str">
            <v>Comms</v>
          </cell>
          <cell r="B52" t="str">
            <v>Communications</v>
          </cell>
        </row>
        <row r="53">
          <cell r="A53" t="str">
            <v>ANT-_AND-12F-</v>
          </cell>
          <cell r="B53" t="str">
            <v>Antenna - Andrew type WHP-12F  </v>
          </cell>
          <cell r="C53" t="str">
            <v>ANT-_AND-12F-</v>
          </cell>
          <cell r="D53" t="str">
            <v>No</v>
          </cell>
          <cell r="E53">
            <v>0.1</v>
          </cell>
          <cell r="F53">
            <v>0.2</v>
          </cell>
        </row>
        <row r="54">
          <cell r="A54" t="str">
            <v>NOT-USED-COM-</v>
          </cell>
          <cell r="B54" t="str">
            <v>Blank Code Used as place filler</v>
          </cell>
          <cell r="C54" t="str">
            <v>NOT-USED-COM-</v>
          </cell>
          <cell r="D54" t="str">
            <v>No</v>
          </cell>
          <cell r="E54">
            <v>0.1</v>
          </cell>
          <cell r="F54">
            <v>0.2</v>
          </cell>
        </row>
        <row r="55">
          <cell r="A55" t="str">
            <v>ANT-_MG_-18_-</v>
          </cell>
          <cell r="B55" t="str">
            <v>Antenna - MiniGrid 1.8m diameter </v>
          </cell>
          <cell r="C55" t="str">
            <v>ANT-_MG_-18_-</v>
          </cell>
          <cell r="D55" t="str">
            <v>No</v>
          </cell>
          <cell r="E55">
            <v>0.1</v>
          </cell>
          <cell r="F55">
            <v>0.2</v>
          </cell>
        </row>
        <row r="56">
          <cell r="A56" t="str">
            <v>CAB-__50-___-</v>
          </cell>
          <cell r="B56" t="str">
            <v>Communication Cables (connection between antenna and Radio equipment)</v>
          </cell>
          <cell r="C56" t="str">
            <v>CAB-__50-___-</v>
          </cell>
          <cell r="D56" t="str">
            <v>m </v>
          </cell>
          <cell r="E56">
            <v>2087</v>
          </cell>
          <cell r="F56">
            <v>0.2</v>
          </cell>
        </row>
        <row r="57">
          <cell r="A57" t="str">
            <v>COM-___1-___-</v>
          </cell>
          <cell r="B57" t="str">
            <v>Communications Software</v>
          </cell>
          <cell r="C57" t="str">
            <v>COM-___1-___-</v>
          </cell>
          <cell r="D57" t="str">
            <v>No</v>
          </cell>
          <cell r="E57">
            <v>0.1</v>
          </cell>
          <cell r="F57">
            <v>0.2</v>
          </cell>
        </row>
        <row r="58">
          <cell r="A58" t="str">
            <v>DCB-_24_-220-</v>
          </cell>
          <cell r="B58" t="str">
            <v> 24 Volt DC Battery bank 220 ampere with no stands  (Comms)</v>
          </cell>
          <cell r="C58" t="str">
            <v>DCB-_24_-220-</v>
          </cell>
          <cell r="D58" t="str">
            <v>set</v>
          </cell>
          <cell r="E58">
            <v>0.1</v>
          </cell>
          <cell r="F58">
            <v>0.2</v>
          </cell>
        </row>
        <row r="59">
          <cell r="A59" t="str">
            <v>DCB-_24S-160-</v>
          </cell>
          <cell r="B59" t="str">
            <v> 24 Volt DC Battery bank  160 amperes, complete with stands (Comms)</v>
          </cell>
          <cell r="C59" t="str">
            <v>DCB-_24S-160-</v>
          </cell>
          <cell r="D59" t="str">
            <v>set</v>
          </cell>
          <cell r="E59">
            <v>0.1</v>
          </cell>
          <cell r="F59">
            <v>0.2</v>
          </cell>
        </row>
        <row r="60">
          <cell r="A60" t="str">
            <v>DCC-__24-__1-</v>
          </cell>
          <cell r="B60" t="str">
            <v>24 v DC Battery Charger (Comms) Invensys rectifiers</v>
          </cell>
          <cell r="C60" t="str">
            <v>DCC-__24-__1-</v>
          </cell>
          <cell r="D60" t="str">
            <v>No</v>
          </cell>
          <cell r="E60">
            <v>8000</v>
          </cell>
          <cell r="F60">
            <v>0.2</v>
          </cell>
        </row>
        <row r="61">
          <cell r="A61" t="str">
            <v>DCC-__24-__2-</v>
          </cell>
          <cell r="B61" t="str">
            <v>24 VDC Dstribution System Cabinet </v>
          </cell>
          <cell r="C61" t="str">
            <v>DCC-__24-__2-</v>
          </cell>
          <cell r="D61" t="str">
            <v>No</v>
          </cell>
          <cell r="E61">
            <v>1500</v>
          </cell>
          <cell r="F61">
            <v>0.2</v>
          </cell>
        </row>
        <row r="62">
          <cell r="A62" t="str">
            <v>ISO-CAB-___-</v>
          </cell>
          <cell r="B62" t="str">
            <v>Isolation cabinet and Fibre isolation equipment</v>
          </cell>
          <cell r="C62" t="str">
            <v>ISO-CAB-___-</v>
          </cell>
          <cell r="D62" t="str">
            <v>set</v>
          </cell>
          <cell r="E62">
            <v>5600</v>
          </cell>
          <cell r="F62">
            <v>0.2</v>
          </cell>
        </row>
        <row r="63">
          <cell r="A63" t="str">
            <v>LT110_120</v>
          </cell>
          <cell r="B63" t="str">
            <v>Line Traps 1200 amp</v>
          </cell>
          <cell r="C63" t="str">
            <v>LT110_120</v>
          </cell>
          <cell r="D63" t="str">
            <v>No</v>
          </cell>
          <cell r="E63">
            <v>0.1</v>
          </cell>
          <cell r="F63">
            <v>0.2</v>
          </cell>
        </row>
        <row r="64">
          <cell r="A64" t="str">
            <v>LT-110_-200-</v>
          </cell>
          <cell r="B64" t="str">
            <v>Line Traps 2000 amp</v>
          </cell>
          <cell r="C64" t="str">
            <v>LT-110_-200-</v>
          </cell>
          <cell r="D64" t="str">
            <v>No</v>
          </cell>
          <cell r="E64">
            <v>20000</v>
          </cell>
          <cell r="F64">
            <v>0.2</v>
          </cell>
        </row>
        <row r="65">
          <cell r="A65" t="str">
            <v>LT110_800</v>
          </cell>
          <cell r="B65" t="str">
            <v> Line Traps 800 amp</v>
          </cell>
          <cell r="C65" t="str">
            <v>LT110_800</v>
          </cell>
          <cell r="D65" t="str">
            <v>No</v>
          </cell>
          <cell r="E65">
            <v>0.1</v>
          </cell>
          <cell r="F65">
            <v>0.2</v>
          </cell>
        </row>
        <row r="66">
          <cell r="A66" t="str">
            <v>LTM-___1-___-</v>
          </cell>
          <cell r="B66" t="str">
            <v>Line Matching Units</v>
          </cell>
          <cell r="C66" t="str">
            <v>LTM-___1-___-</v>
          </cell>
          <cell r="D66" t="str">
            <v>No</v>
          </cell>
          <cell r="E66">
            <v>6500</v>
          </cell>
          <cell r="F66">
            <v>0.2</v>
          </cell>
        </row>
        <row r="67">
          <cell r="A67" t="str">
            <v>LTM-___1-___-0</v>
          </cell>
          <cell r="B67" t="str">
            <v>Line Matching Units</v>
          </cell>
          <cell r="C67" t="str">
            <v>LTM-___1-___-0</v>
          </cell>
          <cell r="D67" t="str">
            <v>No</v>
          </cell>
          <cell r="E67">
            <v>0.1</v>
          </cell>
          <cell r="F67">
            <v>0.2</v>
          </cell>
        </row>
        <row r="68">
          <cell r="A68" t="str">
            <v>MUL-_NOK-___-</v>
          </cell>
          <cell r="B68" t="str">
            <v>Multiplexing equipment (Nokia) with DM8,DM2, DB2,DN2, DIU,VF, V.24 cards and SOMS program</v>
          </cell>
          <cell r="C68" t="str">
            <v>MUL-_NOK-___-</v>
          </cell>
          <cell r="D68" t="str">
            <v>No</v>
          </cell>
          <cell r="E68">
            <v>20375</v>
          </cell>
          <cell r="F68">
            <v>0.2</v>
          </cell>
        </row>
        <row r="69">
          <cell r="A69" t="str">
            <v>PRO-SIG_-TPC-</v>
          </cell>
          <cell r="B69" t="str">
            <v>Protection signalling equipment (Dimat TPC1 terminal)</v>
          </cell>
          <cell r="C69" t="str">
            <v>PRO-SIG_-TPC-</v>
          </cell>
          <cell r="D69" t="str">
            <v>No</v>
          </cell>
          <cell r="E69">
            <v>10500</v>
          </cell>
          <cell r="F69">
            <v>0.2</v>
          </cell>
        </row>
        <row r="70">
          <cell r="A70" t="str">
            <v>PRO-SIGD-OPD-</v>
          </cell>
          <cell r="B70" t="str">
            <v>Digital Protection signalling equipment (Dimat OPD terminal)</v>
          </cell>
          <cell r="C70" t="str">
            <v>PRO-SIGD-OPD-</v>
          </cell>
          <cell r="D70" t="str">
            <v>No</v>
          </cell>
          <cell r="E70">
            <v>43200</v>
          </cell>
          <cell r="F70">
            <v>0.2</v>
          </cell>
        </row>
        <row r="71">
          <cell r="A71" t="str">
            <v>RAD-_DXR-710-</v>
          </cell>
          <cell r="B71" t="str">
            <v>Radio DXR 710 10 GHz  unit complete</v>
          </cell>
          <cell r="C71" t="str">
            <v>RAD-_DXR-710-</v>
          </cell>
          <cell r="D71" t="str">
            <v>set</v>
          </cell>
          <cell r="E71">
            <v>19500</v>
          </cell>
          <cell r="F71">
            <v>0.2</v>
          </cell>
        </row>
        <row r="72">
          <cell r="A72" t="str">
            <v>RAD-_DXR-200-</v>
          </cell>
          <cell r="B72" t="str">
            <v>Radio DXR200 L Band complete</v>
          </cell>
          <cell r="C72" t="str">
            <v>RAD-_DXR-200-</v>
          </cell>
          <cell r="D72" t="str">
            <v>set</v>
          </cell>
          <cell r="E72">
            <v>21500</v>
          </cell>
          <cell r="F72">
            <v>0.2</v>
          </cell>
        </row>
        <row r="73">
          <cell r="A73" t="str">
            <v>RAD-___2-___-</v>
          </cell>
          <cell r="B73" t="str">
            <v>Radio (mobile radio)</v>
          </cell>
          <cell r="C73" t="str">
            <v>RAD-___2-___-</v>
          </cell>
          <cell r="D73" t="str">
            <v>set</v>
          </cell>
          <cell r="E73">
            <v>0.1</v>
          </cell>
          <cell r="F73">
            <v>0.2</v>
          </cell>
        </row>
        <row r="74">
          <cell r="A74" t="str">
            <v>RAD-___3-___-</v>
          </cell>
          <cell r="B74" t="str">
            <v>Radio (Portable and satellite))</v>
          </cell>
          <cell r="C74" t="str">
            <v>RAD-___3-___-</v>
          </cell>
          <cell r="D74" t="str">
            <v>set</v>
          </cell>
          <cell r="E74">
            <v>0.1</v>
          </cell>
          <cell r="F74">
            <v>0.2</v>
          </cell>
        </row>
        <row r="75">
          <cell r="A75" t="str">
            <v>RAD-___4-___-</v>
          </cell>
          <cell r="B75" t="str">
            <v>Radio (supervisory equipment)</v>
          </cell>
          <cell r="C75" t="str">
            <v>RAD-___4-___-</v>
          </cell>
          <cell r="D75" t="str">
            <v>set</v>
          </cell>
          <cell r="E75">
            <v>0.1</v>
          </cell>
          <cell r="F75">
            <v>0.2</v>
          </cell>
        </row>
        <row r="76">
          <cell r="A76" t="str">
            <v>STR-RTWR-LAT-</v>
          </cell>
          <cell r="B76" t="str">
            <v>Foundations for comms lattice tower</v>
          </cell>
          <cell r="C76" t="str">
            <v>STR-RTWR-LAT-</v>
          </cell>
          <cell r="D76" t="str">
            <v>No</v>
          </cell>
          <cell r="E76">
            <v>0.1</v>
          </cell>
          <cell r="F76">
            <v>0.2</v>
          </cell>
        </row>
        <row r="77">
          <cell r="A77" t="str">
            <v>STR-RTWR-STE-</v>
          </cell>
          <cell r="B77" t="str">
            <v>Foundations for comms steel tower</v>
          </cell>
          <cell r="C77" t="str">
            <v>STR-RTWR-STE-</v>
          </cell>
          <cell r="D77" t="str">
            <v>No</v>
          </cell>
          <cell r="E77">
            <v>0.1</v>
          </cell>
          <cell r="F77">
            <v>0.2</v>
          </cell>
        </row>
        <row r="78">
          <cell r="A78" t="str">
            <v>TEL-___1-___-</v>
          </cell>
          <cell r="B78" t="str">
            <v>Telephone Equipment</v>
          </cell>
          <cell r="C78" t="str">
            <v>TEL-___1-___-</v>
          </cell>
          <cell r="D78" t="str">
            <v>set</v>
          </cell>
          <cell r="E78">
            <v>0.1</v>
          </cell>
          <cell r="F78">
            <v>0.2</v>
          </cell>
        </row>
        <row r="79">
          <cell r="A79" t="str">
            <v>TEL-___2-___-</v>
          </cell>
          <cell r="B79" t="str">
            <v>Fax machine</v>
          </cell>
          <cell r="C79" t="str">
            <v>TEL-___2-___-</v>
          </cell>
          <cell r="D79" t="str">
            <v>set</v>
          </cell>
          <cell r="E79">
            <v>500</v>
          </cell>
          <cell r="F79">
            <v>0.2</v>
          </cell>
        </row>
        <row r="80">
          <cell r="A80" t="str">
            <v>TEL-SX10-6__-</v>
          </cell>
          <cell r="B80" t="str">
            <v>Smart Exchange PABX (Chesivale Sx106)</v>
          </cell>
          <cell r="C80" t="str">
            <v>TEL-SX10-6__-</v>
          </cell>
          <cell r="D80" t="str">
            <v>set</v>
          </cell>
          <cell r="E80">
            <v>500</v>
          </cell>
          <cell r="F80">
            <v>0.2</v>
          </cell>
        </row>
        <row r="81">
          <cell r="A81" t="str">
            <v>TMP___1___</v>
          </cell>
          <cell r="B81" t="str">
            <v>Temporary Buildings</v>
          </cell>
          <cell r="C81" t="str">
            <v>TMP___1___</v>
          </cell>
          <cell r="D81" t="str">
            <v>Prov Sum</v>
          </cell>
          <cell r="E81">
            <v>0.1</v>
          </cell>
          <cell r="F81">
            <v>0.2</v>
          </cell>
        </row>
        <row r="82">
          <cell r="A82" t="str">
            <v>TUN-PACK--</v>
          </cell>
          <cell r="B82" t="str">
            <v>Tuning packs for Line Traps</v>
          </cell>
          <cell r="C82" t="str">
            <v>TUN-PACK--</v>
          </cell>
          <cell r="D82" t="str">
            <v>No</v>
          </cell>
          <cell r="E82">
            <v>3100</v>
          </cell>
          <cell r="F82">
            <v>0.2</v>
          </cell>
        </row>
        <row r="83">
          <cell r="A83" t="str">
            <v>TWR15L____</v>
          </cell>
          <cell r="B83" t="str">
            <v>Radio Tower Lattice</v>
          </cell>
          <cell r="C83" t="str">
            <v>TWR15L____</v>
          </cell>
          <cell r="D83" t="str">
            <v>No</v>
          </cell>
          <cell r="E83">
            <v>0.1</v>
          </cell>
          <cell r="F83">
            <v>0.2</v>
          </cell>
        </row>
        <row r="84">
          <cell r="A84" t="str">
            <v>TWR15PC___</v>
          </cell>
          <cell r="B84" t="str">
            <v>Radio  Pole 15 metres Concrete</v>
          </cell>
          <cell r="C84" t="str">
            <v>TWR15PC___</v>
          </cell>
          <cell r="D84" t="str">
            <v>No</v>
          </cell>
          <cell r="E84">
            <v>0.1</v>
          </cell>
          <cell r="F84">
            <v>0.2</v>
          </cell>
        </row>
        <row r="85">
          <cell r="A85" t="str">
            <v>TWR15PS___</v>
          </cell>
          <cell r="B85" t="str">
            <v>Radio  Pole 15 metres Steel</v>
          </cell>
          <cell r="C85" t="str">
            <v>TWR15PS___</v>
          </cell>
          <cell r="D85" t="str">
            <v>No</v>
          </cell>
          <cell r="E85">
            <v>0.1</v>
          </cell>
          <cell r="F85">
            <v>0.2</v>
          </cell>
        </row>
        <row r="88">
          <cell r="A88" t="str">
            <v>Secondary</v>
          </cell>
          <cell r="B88" t="str">
            <v>Secondary Equipment</v>
          </cell>
        </row>
        <row r="89">
          <cell r="A89" t="str">
            <v>NOT-USED-SEC-</v>
          </cell>
          <cell r="B89" t="str">
            <v>Blank Code Used as place filler</v>
          </cell>
          <cell r="C89" t="str">
            <v>NOT-USED-SEC-</v>
          </cell>
          <cell r="D89" t="str">
            <v>No</v>
          </cell>
          <cell r="E89">
            <v>0</v>
          </cell>
          <cell r="F89">
            <v>0</v>
          </cell>
        </row>
        <row r="90">
          <cell r="A90" t="str">
            <v>CTRL-___-1-E1</v>
          </cell>
          <cell r="B90" t="str">
            <v>Multi core Control Cables from ODJB to control / relay room - average length 100 metres, includes earth of sheath, cable terminations and run in existing ducts</v>
          </cell>
          <cell r="C90" t="str">
            <v>CTRL-___-1-E1</v>
          </cell>
          <cell r="D90" t="str">
            <v>Set</v>
          </cell>
          <cell r="E90">
            <v>3500</v>
          </cell>
          <cell r="F90">
            <v>7800</v>
          </cell>
        </row>
        <row r="91">
          <cell r="A91" t="str">
            <v>CTRL-___-1-E2</v>
          </cell>
          <cell r="B91" t="str">
            <v>Multi core Control Cables from ODJB to control / relay room - average length 150 metres, includes earth of sheath, cable terminations and run in existing ducts</v>
          </cell>
          <cell r="C91" t="str">
            <v>CTRL-___-1-E2</v>
          </cell>
          <cell r="D91" t="str">
            <v>Set</v>
          </cell>
          <cell r="E91">
            <v>5250</v>
          </cell>
          <cell r="F91">
            <v>10300</v>
          </cell>
        </row>
        <row r="92">
          <cell r="A92" t="str">
            <v>CTRL-___-1-D1</v>
          </cell>
          <cell r="B92" t="str">
            <v>Multi core Control Cables from ODJB to control / relay room - average length 100 metres includes earth of sheath, cable terminations and run in and INCLUDING NEW ducts</v>
          </cell>
          <cell r="C92" t="str">
            <v>CTRL-___-1-D1</v>
          </cell>
          <cell r="D92" t="str">
            <v>Set</v>
          </cell>
          <cell r="E92">
            <v>3500</v>
          </cell>
          <cell r="F92">
            <v>15300</v>
          </cell>
        </row>
        <row r="93">
          <cell r="A93" t="str">
            <v>CTRL-___-1-D2</v>
          </cell>
          <cell r="B93" t="str">
            <v>Multi core Control Cables from ODJB to control / relay room - average length 150 metres includes earth of sheath, cable terminations and run in and INCLUDING NEW ducts</v>
          </cell>
          <cell r="C93" t="str">
            <v>CTRL-___-1-D2</v>
          </cell>
          <cell r="D93" t="str">
            <v>Set</v>
          </cell>
          <cell r="E93">
            <v>5250</v>
          </cell>
          <cell r="F93">
            <v>21550</v>
          </cell>
        </row>
        <row r="94">
          <cell r="A94" t="str">
            <v>ODJB-___-1-F</v>
          </cell>
          <cell r="B94" t="str">
            <v>ODJB, Marshalling boxes etc complete with all low voltage supplies, concrete foundations and steel stands</v>
          </cell>
          <cell r="C94" t="str">
            <v>ODJB-___-1-F</v>
          </cell>
          <cell r="D94" t="str">
            <v>No</v>
          </cell>
          <cell r="E94">
            <v>2500</v>
          </cell>
          <cell r="F94">
            <v>2700</v>
          </cell>
        </row>
        <row r="95">
          <cell r="A95" t="str">
            <v>ODJB-___-1-S</v>
          </cell>
          <cell r="B95" t="str">
            <v>ODJB, Marshalling boxes etc complete with all low voltage supplies, fixed to existing structures</v>
          </cell>
          <cell r="C95" t="str">
            <v>ODJB-___-1-S</v>
          </cell>
          <cell r="D95" t="str">
            <v>No</v>
          </cell>
          <cell r="E95">
            <v>1500</v>
          </cell>
          <cell r="F95">
            <v>2000</v>
          </cell>
        </row>
        <row r="96">
          <cell r="A96" t="str">
            <v>BAT_-M_Q-1-</v>
          </cell>
          <cell r="B96" t="str">
            <v>110 Volt DC Battery bank  220 ampere EXCLUDES stands (Stations)</v>
          </cell>
          <cell r="C96" t="str">
            <v>BAT_-M_Q-1-</v>
          </cell>
          <cell r="D96" t="str">
            <v>set</v>
          </cell>
          <cell r="E96">
            <v>10000</v>
          </cell>
          <cell r="F96">
            <v>4000</v>
          </cell>
        </row>
        <row r="97">
          <cell r="A97" t="str">
            <v>BAT_-M__-2-</v>
          </cell>
          <cell r="B97" t="str">
            <v>110 Volt DC Battery bank stands</v>
          </cell>
          <cell r="C97" t="str">
            <v>BAT_-M__-2-</v>
          </cell>
          <cell r="D97" t="str">
            <v>set</v>
          </cell>
          <cell r="E97">
            <v>3000</v>
          </cell>
          <cell r="F97">
            <v>500</v>
          </cell>
        </row>
        <row r="98">
          <cell r="A98" t="str">
            <v>BCH_-M__-1-B2</v>
          </cell>
          <cell r="B98" t="str">
            <v>110 v DC Battery Charger (Stations) Benning 20 Amp, including wall mounted cabinet</v>
          </cell>
          <cell r="C98" t="str">
            <v>BCH_-M__-1-B2</v>
          </cell>
          <cell r="D98" t="str">
            <v>No</v>
          </cell>
          <cell r="E98">
            <v>6600</v>
          </cell>
          <cell r="F98">
            <v>14000</v>
          </cell>
        </row>
        <row r="99">
          <cell r="A99" t="str">
            <v>BCH_-M__-1-B5</v>
          </cell>
          <cell r="B99" t="str">
            <v>110 v DC Battery Charger (Stations) Benning 50 Amp, including wall mounted cabinet</v>
          </cell>
          <cell r="C99" t="str">
            <v>BCH_-M__-1-B5</v>
          </cell>
          <cell r="D99" t="str">
            <v>No</v>
          </cell>
          <cell r="E99">
            <v>9000</v>
          </cell>
          <cell r="F99">
            <v>14000</v>
          </cell>
        </row>
        <row r="100">
          <cell r="A100" t="str">
            <v>BCH_-M__-1-M2</v>
          </cell>
          <cell r="B100" t="str">
            <v>110 v DC Battery Charger (Stations) M &amp; H 20 Amp, including wall mounted cabinet</v>
          </cell>
          <cell r="C100" t="str">
            <v>BCH_-M__-1-M2</v>
          </cell>
          <cell r="D100" t="str">
            <v>No</v>
          </cell>
          <cell r="E100">
            <v>7000</v>
          </cell>
          <cell r="F100">
            <v>14000</v>
          </cell>
        </row>
        <row r="101">
          <cell r="A101" t="str">
            <v>BAT_-M__-3-</v>
          </cell>
          <cell r="B101" t="str">
            <v>110 VDC Distribution System complete with cabinets, fuses and distribution cabling</v>
          </cell>
          <cell r="C101" t="str">
            <v>BAT_-M__-3-</v>
          </cell>
          <cell r="D101" t="str">
            <v>No</v>
          </cell>
          <cell r="E101">
            <v>3500</v>
          </cell>
          <cell r="F101">
            <v>3000</v>
          </cell>
        </row>
        <row r="102">
          <cell r="A102" t="str">
            <v>LIG-__14-__4-</v>
          </cell>
          <cell r="B102" t="str">
            <v>Station lighting based on 6 poles and lights structures (includes lights)</v>
          </cell>
          <cell r="C102" t="str">
            <v>LIG-__14-__4-</v>
          </cell>
          <cell r="D102" t="str">
            <v>Prov Sum</v>
          </cell>
          <cell r="E102">
            <v>25000</v>
          </cell>
          <cell r="F102">
            <v>13800</v>
          </cell>
        </row>
        <row r="103">
          <cell r="A103" t="str">
            <v>CBL_-L__-5-</v>
          </cell>
          <cell r="B103" t="str">
            <v>415  AC V power cables, includes earth of sheath, cable terminations and run in existing ducts (based on run length of apprximately 100m)</v>
          </cell>
          <cell r="C103" t="str">
            <v>CBL_-L__-5-</v>
          </cell>
          <cell r="D103" t="str">
            <v>Prov Sum</v>
          </cell>
          <cell r="E103">
            <v>7000</v>
          </cell>
          <cell r="F103">
            <v>4400</v>
          </cell>
        </row>
        <row r="104">
          <cell r="A104" t="str">
            <v>CBL_-L__-5-</v>
          </cell>
          <cell r="B104" t="str">
            <v>415  AC V power cables, includes earth of sheath, cable terminations and run in existing ducts (based on run length of apprximately 100m)</v>
          </cell>
          <cell r="C104" t="str">
            <v>CBL_-L__-5-</v>
          </cell>
          <cell r="D104" t="str">
            <v>Prov Sum</v>
          </cell>
          <cell r="E104">
            <v>7000</v>
          </cell>
          <cell r="F104">
            <v>4400</v>
          </cell>
        </row>
        <row r="105">
          <cell r="A105" t="str">
            <v>APS_-L__-2-</v>
          </cell>
          <cell r="B105" t="str">
            <v>Local Service Distribution boards</v>
          </cell>
          <cell r="C105" t="str">
            <v>APS_-L__-2-</v>
          </cell>
          <cell r="D105" t="str">
            <v>No</v>
          </cell>
          <cell r="E105">
            <v>0</v>
          </cell>
          <cell r="F105">
            <v>1800</v>
          </cell>
        </row>
        <row r="106">
          <cell r="A106" t="str">
            <v>APS_-L__-3-</v>
          </cell>
          <cell r="B106" t="str">
            <v>Local Service Distribution system</v>
          </cell>
          <cell r="C106" t="str">
            <v>APS_-L__-3-</v>
          </cell>
          <cell r="D106" t="str">
            <v>No</v>
          </cell>
          <cell r="E106">
            <v>0</v>
          </cell>
          <cell r="F106">
            <v>10000</v>
          </cell>
        </row>
        <row r="107">
          <cell r="A107" t="str">
            <v>APS_-CLB-1-</v>
          </cell>
          <cell r="B107" t="str">
            <v>Local Service TX 33 kV /415V 200KVA,  including conenction to Local Service distribution network, excludes foundations</v>
          </cell>
          <cell r="C107" t="str">
            <v>APS_-CLB-1-</v>
          </cell>
          <cell r="D107" t="str">
            <v>No</v>
          </cell>
          <cell r="E107">
            <v>27620</v>
          </cell>
          <cell r="F107">
            <v>7386.38</v>
          </cell>
        </row>
        <row r="108">
          <cell r="A108" t="str">
            <v>APS_-ALA-1-</v>
          </cell>
          <cell r="B108" t="str">
            <v>Local Service TX 11 kV /415V 200KVA,  including conenction to Local Service distribution network, excludes foundations</v>
          </cell>
          <cell r="C108" t="str">
            <v>APS_-ALA-1-</v>
          </cell>
          <cell r="D108" t="str">
            <v>No</v>
          </cell>
          <cell r="E108">
            <v>21400</v>
          </cell>
          <cell r="F108">
            <v>5700</v>
          </cell>
        </row>
        <row r="109">
          <cell r="A109" t="str">
            <v>APS_-ALA-1-</v>
          </cell>
          <cell r="B109" t="str">
            <v>Local Service TX 11 kV /415V 200KVA,  including conenction to Local Service distribution network, excludes foundations</v>
          </cell>
          <cell r="C109" t="str">
            <v>APS_-ALA-1-</v>
          </cell>
          <cell r="D109" t="str">
            <v>No</v>
          </cell>
          <cell r="E109">
            <v>21400</v>
          </cell>
          <cell r="F109">
            <v>5700</v>
          </cell>
        </row>
        <row r="110">
          <cell r="A110" t="str">
            <v>APS_-ALB-1-</v>
          </cell>
          <cell r="B110" t="str">
            <v>Local Service TX 11 kV /415V 100KVA,  including conenction to Local Service distribution network, excludes foundations</v>
          </cell>
          <cell r="C110" t="str">
            <v>APS_-ALB-1-</v>
          </cell>
          <cell r="D110" t="str">
            <v>No</v>
          </cell>
          <cell r="E110">
            <v>9700</v>
          </cell>
          <cell r="F110">
            <v>2600</v>
          </cell>
        </row>
        <row r="111">
          <cell r="A111" t="str">
            <v>FDS_-L__-5-_APS</v>
          </cell>
          <cell r="B111" t="str">
            <v>Local Service TX foundations</v>
          </cell>
          <cell r="C111" t="str">
            <v>FDS_-L__-5-_APS</v>
          </cell>
          <cell r="D111" t="str">
            <v>No</v>
          </cell>
          <cell r="E111">
            <v>1000</v>
          </cell>
          <cell r="F111">
            <v>3500</v>
          </cell>
        </row>
        <row r="112">
          <cell r="A112" t="str">
            <v>TOOL-___-1-</v>
          </cell>
          <cell r="B112" t="str">
            <v>Test Equipment</v>
          </cell>
          <cell r="C112" t="str">
            <v>TOOL-___-1-</v>
          </cell>
          <cell r="D112" t="str">
            <v>Prov Sum</v>
          </cell>
          <cell r="E112">
            <v>0.1</v>
          </cell>
          <cell r="F112">
            <v>0.2</v>
          </cell>
        </row>
        <row r="113">
          <cell r="A113" t="str">
            <v>TOOL-___-2-</v>
          </cell>
          <cell r="B113" t="str">
            <v>Moveable Plant (SF6 gas carts, etc)</v>
          </cell>
          <cell r="C113" t="str">
            <v>TOOL-___-2-</v>
          </cell>
          <cell r="D113" t="str">
            <v>Prov Sum</v>
          </cell>
          <cell r="E113">
            <v>0.1</v>
          </cell>
          <cell r="F113">
            <v>0.2</v>
          </cell>
        </row>
        <row r="114">
          <cell r="A114" t="str">
            <v>LMU_-___-1-E</v>
          </cell>
          <cell r="B114" t="str">
            <v>Line matching unit to EB TYPE ZGBR00101.two phase pair – or modern equivalent</v>
          </cell>
          <cell r="C114" t="str">
            <v>LMU_-___-1-E</v>
          </cell>
          <cell r="D114" t="str">
            <v>No</v>
          </cell>
          <cell r="E114">
            <v>12670</v>
          </cell>
          <cell r="F114">
            <v>1500</v>
          </cell>
        </row>
        <row r="115">
          <cell r="A115" t="str">
            <v>LMU_-__6-2-T</v>
          </cell>
          <cell r="B115" t="str">
            <v>Tuning pack to suit 200 amp line trap (Trench)</v>
          </cell>
          <cell r="C115" t="str">
            <v>LMU_-__6-2-T</v>
          </cell>
          <cell r="D115" t="str">
            <v>No</v>
          </cell>
          <cell r="E115">
            <v>4930</v>
          </cell>
          <cell r="F115">
            <v>1500</v>
          </cell>
        </row>
        <row r="116">
          <cell r="A116" t="str">
            <v>PLC--___-</v>
          </cell>
          <cell r="B116" t="str">
            <v>Power Line Carrier</v>
          </cell>
          <cell r="C116" t="str">
            <v>PLC--___-</v>
          </cell>
          <cell r="D116" t="str">
            <v>No</v>
          </cell>
          <cell r="E116">
            <v>0.1</v>
          </cell>
          <cell r="F116">
            <v>0.2</v>
          </cell>
        </row>
        <row r="118">
          <cell r="A118" t="str">
            <v>Buildings</v>
          </cell>
          <cell r="B118" t="str">
            <v>Buildings</v>
          </cell>
        </row>
        <row r="119">
          <cell r="A119" t="str">
            <v>NOT-USED-C-IVIL</v>
          </cell>
          <cell r="B119" t="str">
            <v>Blank Code Used as place filler</v>
          </cell>
          <cell r="C119" t="str">
            <v>NOT-USED-C-IVIL</v>
          </cell>
          <cell r="D119" t="str">
            <v>No</v>
          </cell>
          <cell r="E119">
            <v>0</v>
          </cell>
          <cell r="F119">
            <v>0</v>
          </cell>
        </row>
        <row r="120">
          <cell r="A120" t="str">
            <v>BLDG-___-1--</v>
          </cell>
          <cell r="B120" t="str">
            <v>Building shell,complete withcable basement, raised concrete floor, including all lighting, security, excludes airconditioning and water and sewer systems (use for Switchbds other than  GIS)</v>
          </cell>
          <cell r="C120" t="str">
            <v>BLDG-___-1--</v>
          </cell>
          <cell r="D120" t="str">
            <v>m2</v>
          </cell>
          <cell r="E120">
            <v>0</v>
          </cell>
          <cell r="F120">
            <v>2450</v>
          </cell>
        </row>
        <row r="121">
          <cell r="A121" t="str">
            <v>BLDG-___-2--</v>
          </cell>
          <cell r="B121" t="str">
            <v>Building shell, concrete floor on grade,including all lighting, security, excludes airconditioning and water and sewer systems (use for GIS Switchbds - thes require higher cable basement)</v>
          </cell>
          <cell r="C121" t="str">
            <v>BLDG-___-2--</v>
          </cell>
          <cell r="D121" t="str">
            <v>m2</v>
          </cell>
          <cell r="E121">
            <v>0</v>
          </cell>
          <cell r="F121">
            <v>3450</v>
          </cell>
        </row>
        <row r="122">
          <cell r="A122" t="str">
            <v>CR__-___-2-C </v>
          </cell>
          <cell r="B122" t="str">
            <v>Cranes, lifting equipment (if required)</v>
          </cell>
          <cell r="C122" t="str">
            <v>CR__-___-2-C </v>
          </cell>
          <cell r="D122" t="str">
            <v>Prov Sum</v>
          </cell>
          <cell r="E122">
            <v>0.1</v>
          </cell>
          <cell r="F122">
            <v>0.2</v>
          </cell>
        </row>
        <row r="123">
          <cell r="A123" t="str">
            <v>BLDG-___-2-D</v>
          </cell>
          <cell r="B123" t="str">
            <v>Doors and Windows</v>
          </cell>
          <cell r="C123" t="str">
            <v>BLDG-___-2-D</v>
          </cell>
          <cell r="D123" t="str">
            <v>m2</v>
          </cell>
          <cell r="E123">
            <v>0.1</v>
          </cell>
          <cell r="F123">
            <v>0.2</v>
          </cell>
        </row>
        <row r="124">
          <cell r="A124" t="str">
            <v>BLDG-___-2-F</v>
          </cell>
          <cell r="B124" t="str">
            <v>Fire Alarms</v>
          </cell>
          <cell r="C124" t="str">
            <v>BLDG-___-2-F</v>
          </cell>
          <cell r="D124" t="str">
            <v>m2</v>
          </cell>
          <cell r="E124">
            <v>0.1</v>
          </cell>
          <cell r="F124">
            <v>0.2</v>
          </cell>
        </row>
        <row r="125">
          <cell r="A125" t="str">
            <v>BLDG-___-2-L.</v>
          </cell>
          <cell r="B125" t="str">
            <v>Building Lighting</v>
          </cell>
          <cell r="C125" t="str">
            <v>BLDG-___-2-L.</v>
          </cell>
          <cell r="D125" t="str">
            <v>m2</v>
          </cell>
          <cell r="E125">
            <v>0.1</v>
          </cell>
          <cell r="F125">
            <v>0.2</v>
          </cell>
        </row>
        <row r="126">
          <cell r="A126" t="str">
            <v>BLDG-___-2-S</v>
          </cell>
          <cell r="B126" t="str">
            <v>Sewerage and waste water disposal (including stormwater)</v>
          </cell>
          <cell r="C126" t="str">
            <v>BLDG-___-2-S</v>
          </cell>
          <cell r="D126" t="str">
            <v>m2</v>
          </cell>
          <cell r="E126">
            <v>0.1</v>
          </cell>
          <cell r="F126">
            <v>0.2</v>
          </cell>
        </row>
        <row r="127">
          <cell r="A127" t="str">
            <v>BLDG-___-2-W</v>
          </cell>
          <cell r="B127" t="str">
            <v>Water supplies</v>
          </cell>
          <cell r="C127" t="str">
            <v>BLDG-___-2-W</v>
          </cell>
          <cell r="D127" t="str">
            <v>m2</v>
          </cell>
          <cell r="E127">
            <v>0.1</v>
          </cell>
          <cell r="F127">
            <v>0.2</v>
          </cell>
        </row>
        <row r="129">
          <cell r="A129" t="str">
            <v>Civil Works</v>
          </cell>
          <cell r="B129" t="str">
            <v>Civil Works</v>
          </cell>
        </row>
        <row r="130">
          <cell r="A130" t="str">
            <v>CWK_--4-B</v>
          </cell>
          <cell r="B130" t="str">
            <v>Bridges Culverts</v>
          </cell>
          <cell r="C130" t="str">
            <v>CWK_--4-B</v>
          </cell>
          <cell r="D130" t="str">
            <v>No</v>
          </cell>
          <cell r="E130">
            <v>0.1</v>
          </cell>
          <cell r="F130">
            <v>0.2</v>
          </cell>
        </row>
        <row r="131">
          <cell r="A131" t="str">
            <v>OC__-___-1-</v>
          </cell>
          <cell r="B131" t="str">
            <v>Oil containment bunding to equipment</v>
          </cell>
          <cell r="C131" t="str">
            <v>OC__-___-1-</v>
          </cell>
          <cell r="D131" t="str">
            <v>item</v>
          </cell>
          <cell r="E131">
            <v>0.1</v>
          </cell>
          <cell r="F131">
            <v>0.2</v>
          </cell>
        </row>
        <row r="132">
          <cell r="A132" t="str">
            <v>CWK_-___-1-</v>
          </cell>
          <cell r="B132" t="str">
            <v>Strip top soil from site average 300mm thick, stock pile for future use or disposal off site</v>
          </cell>
          <cell r="C132" t="str">
            <v>CWK_-___-1-</v>
          </cell>
          <cell r="D132" t="str">
            <v>m2</v>
          </cell>
          <cell r="E132">
            <v>0</v>
          </cell>
          <cell r="F132">
            <v>2.9</v>
          </cell>
        </row>
        <row r="133">
          <cell r="A133" t="str">
            <v>CWK_-___-2-</v>
          </cell>
          <cell r="B133" t="str">
            <v>Bulk earthworks (Bulk excavation down to formation level -average 1.0m deep, fill up to base level 500mm of fill, but excludes final switchyard metalling)</v>
          </cell>
          <cell r="C133" t="str">
            <v>CWK_-___-2-</v>
          </cell>
          <cell r="D133" t="str">
            <v>m2</v>
          </cell>
          <cell r="E133">
            <v>0</v>
          </cell>
          <cell r="F133">
            <v>53</v>
          </cell>
        </row>
        <row r="134">
          <cell r="A134" t="str">
            <v>CWK_-___--</v>
          </cell>
          <cell r="B134" t="str">
            <v>Drainage</v>
          </cell>
          <cell r="C134" t="str">
            <v>CWK_-___--</v>
          </cell>
          <cell r="D134" t="str">
            <v>Prov Sum</v>
          </cell>
          <cell r="E134">
            <v>15000</v>
          </cell>
          <cell r="F134">
            <v>35000</v>
          </cell>
        </row>
        <row r="135">
          <cell r="A135" t="str">
            <v>CBL_-___-4-</v>
          </cell>
          <cell r="B135" t="str">
            <v>Cable Trench or Duct 1200 mm wide, 800mm deep, includes excavation, duct covers</v>
          </cell>
          <cell r="C135" t="str">
            <v>CBL_-___-4-</v>
          </cell>
          <cell r="D135" t="str">
            <v>m</v>
          </cell>
          <cell r="E135">
            <v>0</v>
          </cell>
          <cell r="F135">
            <v>150</v>
          </cell>
        </row>
        <row r="136">
          <cell r="A136" t="str">
            <v>FEN-___-6-S</v>
          </cell>
          <cell r="B136" t="str">
            <v>Standard stock fence</v>
          </cell>
          <cell r="C136" t="str">
            <v>FEN-___-6-S</v>
          </cell>
          <cell r="D136" t="str">
            <v>m</v>
          </cell>
          <cell r="E136">
            <v>7.5</v>
          </cell>
          <cell r="F136">
            <v>10</v>
          </cell>
        </row>
        <row r="137">
          <cell r="A137" t="str">
            <v>FEN-___-1-_2</v>
          </cell>
          <cell r="B137" t="str">
            <v>Standard Security  fence, 2.6 metre high with 2.0 metre high galvanized wire mesh, including concrete nib wall </v>
          </cell>
          <cell r="C137" t="str">
            <v>FEN-___-1-_2</v>
          </cell>
          <cell r="D137" t="str">
            <v>m</v>
          </cell>
          <cell r="E137">
            <v>50</v>
          </cell>
          <cell r="F137">
            <v>175</v>
          </cell>
        </row>
        <row r="138">
          <cell r="A138" t="str">
            <v>FEN-___-2-P2</v>
          </cell>
          <cell r="B138" t="str">
            <v>Standard Security and Power fence, 2.6 metre high with 2.4 metre high galvanized wire mesh, 28 wire power fence, including concrete nib wall </v>
          </cell>
          <cell r="C138" t="str">
            <v>FEN-___-2-P2</v>
          </cell>
          <cell r="D138" t="str">
            <v>m</v>
          </cell>
          <cell r="E138">
            <v>50</v>
          </cell>
          <cell r="F138">
            <v>350</v>
          </cell>
        </row>
        <row r="139">
          <cell r="A139" t="str">
            <v>FEN-___-1-_3</v>
          </cell>
          <cell r="B139" t="str">
            <v>Medium Security  fence, 3.0 metre high with 2.4 metre high galvanized wire mesh, including concrete nib wall </v>
          </cell>
          <cell r="C139" t="str">
            <v>FEN-___-1-_3</v>
          </cell>
          <cell r="D139" t="str">
            <v>m</v>
          </cell>
          <cell r="E139">
            <v>50</v>
          </cell>
          <cell r="F139">
            <v>175</v>
          </cell>
        </row>
        <row r="140">
          <cell r="A140" t="str">
            <v>FEN-___-2-P3</v>
          </cell>
          <cell r="B140" t="str">
            <v>Medium Securityand Power fence, 3.0 metre high with 2.4 metre high galvanized wire mesh, 32 wire power fence,  includiung concrete nib wall </v>
          </cell>
          <cell r="C140" t="str">
            <v>FEN-___-2-P3</v>
          </cell>
          <cell r="D140" t="str">
            <v>m</v>
          </cell>
          <cell r="E140">
            <v>50</v>
          </cell>
          <cell r="F140">
            <v>350</v>
          </cell>
        </row>
        <row r="141">
          <cell r="A141" t="str">
            <v>FEN-___-3-_2</v>
          </cell>
          <cell r="B141" t="str">
            <v>4 metre wide vehicle gate in standard security fence.(2.6 m high)</v>
          </cell>
          <cell r="C141" t="str">
            <v>FEN-___-3-_2</v>
          </cell>
          <cell r="D141" t="str">
            <v>No</v>
          </cell>
          <cell r="E141">
            <v>0</v>
          </cell>
          <cell r="F141">
            <v>4000</v>
          </cell>
        </row>
        <row r="142">
          <cell r="A142" t="str">
            <v>FEN-___-3-_3</v>
          </cell>
          <cell r="B142" t="str">
            <v>4 metre wide vehicle gate in Medium security fence. (3.0 m high)</v>
          </cell>
          <cell r="C142" t="str">
            <v>FEN-___-3-_3</v>
          </cell>
          <cell r="D142" t="str">
            <v>No</v>
          </cell>
          <cell r="E142">
            <v>0</v>
          </cell>
          <cell r="F142">
            <v>5000</v>
          </cell>
        </row>
        <row r="143">
          <cell r="A143" t="str">
            <v>FEN-___-4-_2</v>
          </cell>
          <cell r="B143" t="str">
            <v>Personnel access gate in standard security fence.(2.6 m high)</v>
          </cell>
          <cell r="C143" t="str">
            <v>FEN-___-4-_2</v>
          </cell>
          <cell r="D143" t="str">
            <v>No</v>
          </cell>
          <cell r="E143">
            <v>0</v>
          </cell>
          <cell r="F143">
            <v>1500</v>
          </cell>
        </row>
        <row r="144">
          <cell r="A144" t="str">
            <v>FEN-___-4-_3</v>
          </cell>
          <cell r="B144" t="str">
            <v>Personnel access gate in Medium security fence (3.0 m high)</v>
          </cell>
          <cell r="C144" t="str">
            <v>FEN-___-4-_3</v>
          </cell>
          <cell r="D144" t="str">
            <v>No</v>
          </cell>
          <cell r="E144">
            <v>0</v>
          </cell>
          <cell r="F144">
            <v>2000</v>
          </cell>
        </row>
        <row r="145">
          <cell r="A145" t="str">
            <v>FEN-___-5-____</v>
          </cell>
          <cell r="B145" t="str">
            <v>Power controller for vermin control power fence (Gallagher M400 )</v>
          </cell>
          <cell r="C145" t="str">
            <v>FEN-___-5-____</v>
          </cell>
          <cell r="D145" t="str">
            <v>No</v>
          </cell>
          <cell r="E145">
            <v>0</v>
          </cell>
          <cell r="F145">
            <v>750</v>
          </cell>
        </row>
        <row r="146">
          <cell r="A146" t="str">
            <v>FEN-___-5-____</v>
          </cell>
          <cell r="B146" t="str">
            <v>Power controller for vermin control power fence (Gallagher M400 )</v>
          </cell>
          <cell r="C146" t="str">
            <v>FEN-___-5-____</v>
          </cell>
          <cell r="D146" t="str">
            <v>No</v>
          </cell>
          <cell r="E146">
            <v>0</v>
          </cell>
          <cell r="F146">
            <v>750</v>
          </cell>
        </row>
        <row r="147">
          <cell r="A147" t="str">
            <v>FIRE-___-1-____</v>
          </cell>
          <cell r="B147" t="str">
            <v>Fire detection system in switchyard</v>
          </cell>
          <cell r="C147" t="str">
            <v>FIRE-___-1-____</v>
          </cell>
          <cell r="D147" t="str">
            <v>Prov Sum</v>
          </cell>
          <cell r="E147">
            <v>0.1</v>
          </cell>
          <cell r="F147">
            <v>0.2</v>
          </cell>
        </row>
        <row r="148">
          <cell r="A148" t="str">
            <v>FIR-___-2-____</v>
          </cell>
          <cell r="B148" t="str">
            <v>Fire protection system in switchyard</v>
          </cell>
          <cell r="C148" t="str">
            <v>FIR-___-2-____</v>
          </cell>
          <cell r="D148" t="str">
            <v>Prov Sum</v>
          </cell>
          <cell r="E148">
            <v>0.1</v>
          </cell>
          <cell r="F148">
            <v>0.2</v>
          </cell>
        </row>
        <row r="149">
          <cell r="A149" t="str">
            <v>CWK_-___-5-L.</v>
          </cell>
          <cell r="B149" t="str">
            <v>Station lighting system including poles, wiring, controls and light units</v>
          </cell>
          <cell r="C149" t="str">
            <v>CWK_-___-5-L.</v>
          </cell>
          <cell r="D149" t="str">
            <v>Prov Sum</v>
          </cell>
          <cell r="E149">
            <v>25000</v>
          </cell>
          <cell r="F149">
            <v>13800</v>
          </cell>
        </row>
        <row r="150">
          <cell r="A150" t="str">
            <v>CWK_-___-4-____</v>
          </cell>
          <cell r="B150" t="str">
            <v>Roads (based on 5m wide x 0.3m thick basecourse, asphalt surface, concrete kerb and channel</v>
          </cell>
          <cell r="C150" t="str">
            <v>CWK_-___-4-____</v>
          </cell>
          <cell r="D150" t="str">
            <v>m </v>
          </cell>
          <cell r="E150">
            <v>0</v>
          </cell>
          <cell r="F150">
            <v>230</v>
          </cell>
        </row>
        <row r="151">
          <cell r="A151" t="str">
            <v>CWK_-___-6--</v>
          </cell>
          <cell r="B151" t="str">
            <v>Sewerage and waste water disposal (including stormwater)</v>
          </cell>
          <cell r="C151" t="str">
            <v>CWK_-___-6--</v>
          </cell>
          <cell r="D151" t="str">
            <v>System</v>
          </cell>
          <cell r="E151">
            <v>0.1</v>
          </cell>
          <cell r="F151">
            <v>0.2</v>
          </cell>
        </row>
        <row r="152">
          <cell r="A152" t="str">
            <v>EG__-___-1-G</v>
          </cell>
          <cell r="B152" t="str">
            <v>Switchyard Earth grid - based on a 5 x 5m grid with 50 x 4m copper strap with Cadweld joints at intersections, EXCLUDES connections to equipment and fences</v>
          </cell>
          <cell r="C152" t="str">
            <v>EG__-___-1-G</v>
          </cell>
          <cell r="D152" t="str">
            <v>m2</v>
          </cell>
          <cell r="E152">
            <v>17</v>
          </cell>
          <cell r="F152">
            <v>10</v>
          </cell>
        </row>
        <row r="153">
          <cell r="A153" t="str">
            <v>EG__-___-2-G</v>
          </cell>
          <cell r="B153" t="str">
            <v>Switchyard Earth grid - based on a 3 x 3 m grid with 50 x 4m copper strap with Cadweld joints at intersections, EXCLUDES connections to equipment and fences</v>
          </cell>
          <cell r="C153" t="str">
            <v>EG__-___-2-G</v>
          </cell>
          <cell r="D153" t="str">
            <v>m2</v>
          </cell>
          <cell r="E153">
            <v>27</v>
          </cell>
          <cell r="F153">
            <v>20</v>
          </cell>
        </row>
        <row r="154">
          <cell r="A154" t="str">
            <v>EG__-___-2-R</v>
          </cell>
          <cell r="B154" t="str">
            <v>Crushed rock  (to TP.PS 52.04) laid to a minimum depth of 125 mm and a maximum depth of 150 mm (Top layer of switchyard)</v>
          </cell>
          <cell r="C154" t="str">
            <v>EG__-___-2-R</v>
          </cell>
          <cell r="D154" t="str">
            <v>m2</v>
          </cell>
          <cell r="E154">
            <v>0</v>
          </cell>
          <cell r="F154">
            <v>27.5</v>
          </cell>
        </row>
        <row r="155">
          <cell r="A155" t="str">
            <v>TMP----</v>
          </cell>
          <cell r="B155" t="str">
            <v>Temporary Buildings</v>
          </cell>
          <cell r="C155" t="str">
            <v>TMP----</v>
          </cell>
          <cell r="D155" t="str">
            <v>Prov Sum</v>
          </cell>
          <cell r="E155">
            <v>0.1</v>
          </cell>
          <cell r="F155">
            <v>0.2</v>
          </cell>
        </row>
        <row r="156">
          <cell r="A156" t="str">
            <v>OPS-___-1-__30</v>
          </cell>
          <cell r="B156" t="str">
            <v>Oil Containment tanks/separators based on 30,000 capcaity (excludes bunding)</v>
          </cell>
          <cell r="C156" t="str">
            <v>OPS-___-1-__30</v>
          </cell>
          <cell r="D156" t="str">
            <v>m3</v>
          </cell>
          <cell r="E156">
            <v>35000</v>
          </cell>
          <cell r="F156">
            <v>30000</v>
          </cell>
        </row>
        <row r="157">
          <cell r="A157" t="str">
            <v>CWK_-___-7-W</v>
          </cell>
          <cell r="B157" t="str">
            <v>Water Supply</v>
          </cell>
          <cell r="C157" t="str">
            <v>CWK_-___-7-W</v>
          </cell>
          <cell r="D157" t="str">
            <v>Prov Sum</v>
          </cell>
          <cell r="E157">
            <v>0.1</v>
          </cell>
          <cell r="F157">
            <v>0.2</v>
          </cell>
        </row>
        <row r="158">
          <cell r="A158" t="str">
            <v>SW__FLD_LGT</v>
          </cell>
          <cell r="B158" t="str">
            <v>Switchyard Flood light standard approximately 8.5 m high complete with foundations, cross arm, two Sonpak OT250 floodlight and accessories including circuit to control room (av length 50m) Includes connection to the earth grid</v>
          </cell>
          <cell r="C158" t="str">
            <v>SW__FLD_LGT</v>
          </cell>
          <cell r="D158" t="str">
            <v>No</v>
          </cell>
          <cell r="E158">
            <v>2400</v>
          </cell>
          <cell r="F158">
            <v>3900</v>
          </cell>
        </row>
        <row r="159">
          <cell r="A159" t="str">
            <v>SW__LGTNING</v>
          </cell>
          <cell r="B159" t="str">
            <v>Switchyard Lightning Tower 13.4 m high complete with foundations lightning rod to top of tower and includes connection to the earth grid</v>
          </cell>
          <cell r="C159" t="str">
            <v>SW__LGTNING</v>
          </cell>
          <cell r="D159" t="str">
            <v>No</v>
          </cell>
          <cell r="E159">
            <v>970</v>
          </cell>
          <cell r="F159">
            <v>8734.4</v>
          </cell>
        </row>
        <row r="162">
          <cell r="A162" t="str">
            <v>11 kV</v>
          </cell>
          <cell r="B162" t="str">
            <v>11 kV</v>
          </cell>
        </row>
        <row r="163">
          <cell r="A163" t="str">
            <v>NOT_-USED---11kV</v>
          </cell>
          <cell r="B163" t="str">
            <v>Blank Code Used as place filler</v>
          </cell>
          <cell r="C163" t="str">
            <v>NOT_-USED---11kV</v>
          </cell>
          <cell r="D163" t="str">
            <v>No</v>
          </cell>
          <cell r="E163">
            <v>0</v>
          </cell>
          <cell r="F163">
            <v>0</v>
          </cell>
        </row>
        <row r="164">
          <cell r="A164" t="str">
            <v>BS__-A__-1--</v>
          </cell>
          <cell r="B164" t="str">
            <v>11 kV Bus Insulator support structure for buswork includes foundations and connection to earth grid</v>
          </cell>
          <cell r="C164" t="str">
            <v>BS__-A__-1--</v>
          </cell>
          <cell r="D164" t="str">
            <v>Bay</v>
          </cell>
          <cell r="E164">
            <v>0.1</v>
          </cell>
          <cell r="F164">
            <v>13500</v>
          </cell>
        </row>
        <row r="165">
          <cell r="A165" t="str">
            <v>BS__-A__-2--</v>
          </cell>
          <cell r="B165" t="str">
            <v>11 kV Bus insulators</v>
          </cell>
          <cell r="C165" t="str">
            <v>BS__-A__-2--</v>
          </cell>
          <cell r="D165" t="str">
            <v>Bay</v>
          </cell>
          <cell r="E165">
            <v>850</v>
          </cell>
          <cell r="F165">
            <v>1050</v>
          </cell>
        </row>
        <row r="166">
          <cell r="A166" t="str">
            <v>CBL_-A__-1--</v>
          </cell>
          <cell r="B166" t="str">
            <v>11 kV cables  Pothead, fabricated from 125 x 65 Channel, 125 x 125 x 5 RHS (all galvanised), includes 33 kV Surge Arrester, 33 kV insulator, link between insulator and surge arrester</v>
          </cell>
          <cell r="C166" t="str">
            <v>CBL_-A__-1--</v>
          </cell>
          <cell r="D166" t="str">
            <v>No</v>
          </cell>
          <cell r="E166">
            <v>8532</v>
          </cell>
          <cell r="F166">
            <v>4686.4</v>
          </cell>
        </row>
        <row r="167">
          <cell r="A167" t="str">
            <v>BS__-A__-3--</v>
          </cell>
          <cell r="B167" t="str">
            <v>11 kV Steel Gantry and girder 8.7m high 15m wide (girder approx 8.7m above gnd)consisting of 813mm OD poles (8m high), 457 OD upper section (5m high) and girder (Same as 220kV gantry)</v>
          </cell>
          <cell r="C167" t="str">
            <v>BS__-A__-3--</v>
          </cell>
          <cell r="D167" t="str">
            <v>No</v>
          </cell>
          <cell r="E167">
            <v>0</v>
          </cell>
          <cell r="F167">
            <v>0</v>
          </cell>
        </row>
        <row r="168">
          <cell r="A168" t="str">
            <v>BS__-A___-4-RA1</v>
          </cell>
          <cell r="B168" t="str">
            <v>11 kV Rigid Bus 100/ 6.5 Aluminium tube including clamps terminals etc</v>
          </cell>
          <cell r="C168" t="str">
            <v>BS__-A___-4-RA1</v>
          </cell>
          <cell r="D168" t="str">
            <v>Bay</v>
          </cell>
          <cell r="E168">
            <v>3925</v>
          </cell>
          <cell r="F168">
            <v>3300</v>
          </cell>
        </row>
        <row r="169">
          <cell r="A169" t="str">
            <v>CBL_-A___-1-A3_1</v>
          </cell>
          <cell r="B169" t="str">
            <v>11 kV cables  300 mm²  AL XLPE direct bured one cable per phase</v>
          </cell>
          <cell r="C169" t="str">
            <v>CBL_-A___-1-A3_1</v>
          </cell>
          <cell r="D169" t="str">
            <v>per m run </v>
          </cell>
          <cell r="E169">
            <v>140</v>
          </cell>
          <cell r="F169">
            <v>98</v>
          </cell>
        </row>
        <row r="170">
          <cell r="A170" t="str">
            <v>CBL_-A___-1-A3_2</v>
          </cell>
          <cell r="B170" t="str">
            <v>11 kV cables  400 mm²  AL XLPE direct bured one cable per phase</v>
          </cell>
          <cell r="C170" t="str">
            <v>CBL_-A___-1-A3_2</v>
          </cell>
          <cell r="D170" t="str">
            <v>per m run </v>
          </cell>
          <cell r="E170">
            <v>155</v>
          </cell>
          <cell r="F170">
            <v>98</v>
          </cell>
        </row>
        <row r="171">
          <cell r="A171" t="str">
            <v>CBL_-A___-1-A3_3</v>
          </cell>
          <cell r="B171" t="str">
            <v>11 kV cables  500 mm²  AL XLPE direct bured one cable per phase</v>
          </cell>
          <cell r="C171" t="str">
            <v>CBL_-A___-1-A3_3</v>
          </cell>
          <cell r="D171" t="str">
            <v>per m run </v>
          </cell>
          <cell r="E171">
            <v>170</v>
          </cell>
          <cell r="F171">
            <v>150</v>
          </cell>
        </row>
        <row r="172">
          <cell r="A172" t="str">
            <v>CBL_-A___-1-A3_4</v>
          </cell>
          <cell r="B172" t="str">
            <v>11 kV cables  630 mm²  AL XLPE direct bured one cable per phase</v>
          </cell>
          <cell r="C172" t="str">
            <v>CBL_-A___-1-A3_4</v>
          </cell>
          <cell r="D172" t="str">
            <v>per m run </v>
          </cell>
          <cell r="E172">
            <v>185</v>
          </cell>
          <cell r="F172">
            <v>150</v>
          </cell>
        </row>
        <row r="173">
          <cell r="A173" t="str">
            <v>CBL_-A___-1-A3_5</v>
          </cell>
          <cell r="B173" t="str">
            <v>11 kV cables  800 mm²  AL XLPE direct bured one cable per phase</v>
          </cell>
          <cell r="C173" t="str">
            <v>CBL_-A___-1-A3_5</v>
          </cell>
          <cell r="D173" t="str">
            <v>per m run </v>
          </cell>
          <cell r="E173">
            <v>210</v>
          </cell>
          <cell r="F173">
            <v>250</v>
          </cell>
        </row>
        <row r="174">
          <cell r="A174" t="str">
            <v>CBL_-A___-1-A3_6</v>
          </cell>
          <cell r="B174" t="str">
            <v>11 kV cables  1200 mm²  AL XLPE direct bured one cable per phase</v>
          </cell>
          <cell r="C174" t="str">
            <v>CBL_-A___-1-A3_6</v>
          </cell>
          <cell r="D174" t="str">
            <v>per m run </v>
          </cell>
          <cell r="E174">
            <v>380</v>
          </cell>
          <cell r="F174">
            <v>300</v>
          </cell>
        </row>
        <row r="175">
          <cell r="A175" t="str">
            <v>CBL_-A___-1-C4_1</v>
          </cell>
          <cell r="B175" t="str">
            <v>11 kV cables  single core 300 mm2 copper  XLPE direct bured one cable per phase</v>
          </cell>
          <cell r="C175" t="str">
            <v>CBL_-A___-1-C4_1</v>
          </cell>
          <cell r="D175" t="str">
            <v>per m run </v>
          </cell>
          <cell r="E175">
            <v>355</v>
          </cell>
          <cell r="F175">
            <v>98</v>
          </cell>
        </row>
        <row r="176">
          <cell r="A176" t="str">
            <v>CBL_-A___-1-C4_2</v>
          </cell>
          <cell r="B176" t="str">
            <v>11 kV cables  single core 400 mm2  copper XLPE direct bured one cable per phase</v>
          </cell>
          <cell r="C176" t="str">
            <v>CBL_-A___-1-C4_2</v>
          </cell>
          <cell r="D176" t="str">
            <v>per m run </v>
          </cell>
          <cell r="E176">
            <v>450</v>
          </cell>
          <cell r="F176">
            <v>98</v>
          </cell>
        </row>
        <row r="177">
          <cell r="A177" t="str">
            <v>CBL_-A___-1-C4_3</v>
          </cell>
          <cell r="B177" t="str">
            <v>11 kV cables  single core 500 mm2 copper  XLPE direct bured one cable per phase</v>
          </cell>
          <cell r="C177" t="str">
            <v>CBL_-A___-1-C4_3</v>
          </cell>
          <cell r="D177" t="str">
            <v>per m run </v>
          </cell>
          <cell r="E177">
            <v>565</v>
          </cell>
          <cell r="F177">
            <v>150</v>
          </cell>
        </row>
        <row r="178">
          <cell r="A178" t="str">
            <v>CBL_-A___-1-C4_4</v>
          </cell>
          <cell r="B178" t="str">
            <v>11 kV cables  single core 630 mm2  copper XLPE direct bured one cable per phase</v>
          </cell>
          <cell r="C178" t="str">
            <v>CBL_-A___-1-C4_4</v>
          </cell>
          <cell r="D178" t="str">
            <v>per m run </v>
          </cell>
          <cell r="E178">
            <v>630</v>
          </cell>
          <cell r="F178">
            <v>250</v>
          </cell>
        </row>
        <row r="179">
          <cell r="A179" t="str">
            <v>CBL_-A___-1-C4_5</v>
          </cell>
          <cell r="B179" t="str">
            <v>11 kV cables  single core 630 mm2 copper  XLPE  direct bured   (2 cables per phase)</v>
          </cell>
          <cell r="C179" t="str">
            <v>CBL_-A___-1-C4_5</v>
          </cell>
          <cell r="D179" t="str">
            <v>per m run </v>
          </cell>
          <cell r="E179">
            <v>3780</v>
          </cell>
          <cell r="F179">
            <v>350</v>
          </cell>
        </row>
        <row r="180">
          <cell r="A180" t="str">
            <v>CBL_-A___-1-C4_6</v>
          </cell>
          <cell r="B180" t="str">
            <v>11 kV cables  single core 630 mm2  copper XLPE  direct bured   (3 cables per  phase)</v>
          </cell>
          <cell r="C180" t="str">
            <v>CBL_-A___-1-C4_6</v>
          </cell>
          <cell r="D180" t="str">
            <v>per m run </v>
          </cell>
          <cell r="E180">
            <v>1700</v>
          </cell>
          <cell r="F180">
            <v>450</v>
          </cell>
        </row>
        <row r="181">
          <cell r="A181" t="str">
            <v>CBL_-A___-1-C4_7</v>
          </cell>
          <cell r="B181" t="str">
            <v>11 kV cables  single core 630 mm2  copper XLPE  direct bured   (4 cables per  phase)</v>
          </cell>
          <cell r="C181" t="str">
            <v>CBL_-A___-1-C4_7</v>
          </cell>
          <cell r="D181" t="str">
            <v>per m run </v>
          </cell>
          <cell r="E181">
            <v>2525</v>
          </cell>
          <cell r="F181">
            <v>450</v>
          </cell>
        </row>
        <row r="182">
          <cell r="A182" t="str">
            <v>CBL_-A___-4-PO</v>
          </cell>
          <cell r="B182" t="str">
            <v>11 kV cable  terminations - Pfisterer type  Outdoor (per cable)</v>
          </cell>
          <cell r="C182" t="str">
            <v>CBL_-A___-4-PO</v>
          </cell>
          <cell r="D182" t="str">
            <v>No</v>
          </cell>
          <cell r="E182">
            <v>660</v>
          </cell>
          <cell r="F182">
            <v>250</v>
          </cell>
        </row>
        <row r="183">
          <cell r="A183" t="str">
            <v>CBL_-A___-4-PI</v>
          </cell>
          <cell r="B183" t="str">
            <v>11 kV cable  terminations - Pfisterer type  Indoor (per cable)</v>
          </cell>
          <cell r="C183" t="str">
            <v>CBL_-A___-4-PI</v>
          </cell>
          <cell r="D183" t="str">
            <v>No</v>
          </cell>
          <cell r="E183">
            <v>1000</v>
          </cell>
          <cell r="F183">
            <v>250</v>
          </cell>
        </row>
        <row r="184">
          <cell r="A184" t="str">
            <v>CBL_-A___-4-RO</v>
          </cell>
          <cell r="B184" t="str">
            <v>11 kV cable  terminations Indoors (Raychem type joints per cable)</v>
          </cell>
          <cell r="C184" t="str">
            <v>CBL_-A___-4-RO</v>
          </cell>
          <cell r="D184" t="str">
            <v>No</v>
          </cell>
          <cell r="E184">
            <v>100</v>
          </cell>
          <cell r="F184">
            <v>125</v>
          </cell>
        </row>
        <row r="185">
          <cell r="A185" t="str">
            <v>CBL_-A___-4-RI</v>
          </cell>
          <cell r="B185" t="str">
            <v>11 kV cable termination outdoor (Raychem type joints per cable) </v>
          </cell>
          <cell r="C185" t="str">
            <v>CBL_-A___-4-RI</v>
          </cell>
          <cell r="D185" t="str">
            <v>No</v>
          </cell>
          <cell r="E185">
            <v>150</v>
          </cell>
          <cell r="F185">
            <v>125</v>
          </cell>
        </row>
        <row r="186">
          <cell r="A186" t="str">
            <v>CBL_-A___-5-4CT</v>
          </cell>
          <cell r="B186" t="str">
            <v>11 kV cables  single core 400 mm2 copper  XLPE  in cable ducts or trenches  per phase</v>
          </cell>
          <cell r="C186" t="str">
            <v>CBL_-A___-5-4CT</v>
          </cell>
          <cell r="D186" t="str">
            <v>m </v>
          </cell>
          <cell r="E186">
            <v>82</v>
          </cell>
          <cell r="F186">
            <v>12</v>
          </cell>
        </row>
        <row r="187">
          <cell r="A187" t="str">
            <v>CBL_-A___-5-6CT</v>
          </cell>
          <cell r="B187" t="str">
            <v>11 kV cables  single core 630 mm2 XLPE  in cable ducts or trenches  per phase</v>
          </cell>
          <cell r="C187" t="str">
            <v>CBL_-A___-5-6CT</v>
          </cell>
          <cell r="D187" t="str">
            <v>m </v>
          </cell>
          <cell r="E187">
            <v>115</v>
          </cell>
          <cell r="F187">
            <v>250</v>
          </cell>
        </row>
        <row r="188">
          <cell r="A188" t="str">
            <v>CAPS-A_D-1-US</v>
          </cell>
          <cell r="B188" t="str">
            <v>11 kV 30Mvar capacitor bank complete with unbalanced CT, stands, cabling etc</v>
          </cell>
          <cell r="C188" t="str">
            <v>CAPS-A_D-1-US</v>
          </cell>
          <cell r="D188" t="str">
            <v>No</v>
          </cell>
          <cell r="E188">
            <v>129000</v>
          </cell>
          <cell r="F188">
            <v>40000</v>
          </cell>
        </row>
        <row r="189">
          <cell r="A189" t="str">
            <v>CB__-A_1-5-CXOS</v>
          </cell>
          <cell r="B189" t="str">
            <v>11 kV Outdoor Recloser 400amp (Cooper power KFME) Includes support structure and foundations</v>
          </cell>
          <cell r="C189" t="str">
            <v>CB__-A_1-5-CXOS</v>
          </cell>
          <cell r="D189" t="str">
            <v>No</v>
          </cell>
          <cell r="E189">
            <v>24630</v>
          </cell>
          <cell r="F189">
            <v>25550.86</v>
          </cell>
        </row>
        <row r="190">
          <cell r="A190" t="str">
            <v>CB__-A_2-4-RGIX</v>
          </cell>
          <cell r="B190" t="str">
            <v>11 kV GIS  Indoor Circuit Breaker  630 amp ( Reyrolle LMVP) includes supposts, fastenings, interconnectign cables</v>
          </cell>
          <cell r="C190" t="str">
            <v>CB__-A_2-4-RGIX</v>
          </cell>
          <cell r="D190" t="str">
            <v>No</v>
          </cell>
          <cell r="E190">
            <v>26800</v>
          </cell>
          <cell r="F190">
            <v>12700</v>
          </cell>
        </row>
        <row r="191">
          <cell r="A191" t="str">
            <v>CB__-A_6-4-RGIX</v>
          </cell>
          <cell r="B191" t="str">
            <v>11 kV GIS  Indoor Circuit Breaker 2000 amp( Reyrolle LMVP)  includes supposts, fastenings, interconnectign cables</v>
          </cell>
          <cell r="C191" t="str">
            <v>CB__-A_6-4-RGIX</v>
          </cell>
          <cell r="D191" t="str">
            <v>No</v>
          </cell>
          <cell r="E191">
            <v>34500</v>
          </cell>
          <cell r="F191">
            <v>18500</v>
          </cell>
        </row>
        <row r="192">
          <cell r="A192" t="str">
            <v>CB__-A_4-4-RGIX</v>
          </cell>
          <cell r="B192" t="str">
            <v>11 kV GIS  Indoor Circuit Breaker 1250 amp( Reyrolle LMVP)  includes supposts, fastenings, interconnectign cables</v>
          </cell>
          <cell r="C192" t="str">
            <v>CB__-A_4-4-RGIX</v>
          </cell>
          <cell r="D192" t="str">
            <v>No</v>
          </cell>
          <cell r="E192">
            <v>32000</v>
          </cell>
          <cell r="F192">
            <v>16509.066666666666</v>
          </cell>
        </row>
        <row r="193">
          <cell r="A193" t="str">
            <v>CB__-A_7-4-RGIX</v>
          </cell>
          <cell r="B193" t="str">
            <v>11 kV GIS  Indoor Circuit Breaker 2500 amp( Reyrolle LMVP)  includes supposts, fastenings, interconnectign cables</v>
          </cell>
          <cell r="C193" t="str">
            <v>CB__-A_7-4-RGIX</v>
          </cell>
          <cell r="D193" t="str">
            <v>No</v>
          </cell>
          <cell r="E193">
            <v>50455.5852</v>
          </cell>
          <cell r="F193">
            <v>23743.8048</v>
          </cell>
        </row>
        <row r="194">
          <cell r="A194" t="str">
            <v>CB__-A_8-4-SGOS</v>
          </cell>
          <cell r="B194" t="str">
            <v>11 kV  GIS Outdoor Circuit Breaker 3150 amp( Schneider SF2) - Custom price based on BRY cap bank</v>
          </cell>
          <cell r="C194" t="str">
            <v>CB__-A_8-4-SGOS</v>
          </cell>
          <cell r="D194" t="str">
            <v>No</v>
          </cell>
          <cell r="E194">
            <v>117000</v>
          </cell>
          <cell r="F194">
            <v>56292.2</v>
          </cell>
        </row>
        <row r="195">
          <cell r="A195" t="str">
            <v>CB__-A_5-4-SGOS</v>
          </cell>
          <cell r="B195" t="str">
            <v>11 kV  GIS Outdoor Circuit Breaker 1600 amp( Schneider SF2) Custom price based on BRY cap bank</v>
          </cell>
          <cell r="C195" t="str">
            <v>CB__-A_5-4-SGOS</v>
          </cell>
          <cell r="D195" t="str">
            <v>No</v>
          </cell>
          <cell r="E195">
            <v>121400</v>
          </cell>
          <cell r="F195">
            <v>67416.96</v>
          </cell>
        </row>
        <row r="196">
          <cell r="A196" t="str">
            <v>CT__-A_41----</v>
          </cell>
          <cell r="B196" t="str">
            <v>11 kV Current Transformers, four core, 1250 A, THREE  phase set, stands, Class 0.2, ratio 800/400/200/1</v>
          </cell>
          <cell r="C196" t="str">
            <v>CT__-A_41----</v>
          </cell>
          <cell r="D196" t="str">
            <v>Set</v>
          </cell>
          <cell r="E196">
            <v>8700</v>
          </cell>
          <cell r="F196">
            <v>3600</v>
          </cell>
        </row>
        <row r="197">
          <cell r="A197" t="str">
            <v>CT__-A_71----</v>
          </cell>
          <cell r="B197" t="str">
            <v>11 kV Current Transformers, four core, 2500 A, THREE phase set, stands, Class 0.2, ratio 800/400/200/1</v>
          </cell>
          <cell r="C197" t="str">
            <v>CT__-A_71----</v>
          </cell>
          <cell r="D197" t="str">
            <v>Set</v>
          </cell>
          <cell r="E197">
            <v>8700</v>
          </cell>
          <cell r="F197">
            <v>3600</v>
          </cell>
        </row>
        <row r="198">
          <cell r="A198" t="str">
            <v>DS__-A_61-A--</v>
          </cell>
          <cell r="B198" t="str">
            <v>11 kV 2000 A Disconnector - Double break,centre rotating (33kV unit used in 11 kV cap bank) Areva </v>
          </cell>
          <cell r="C198" t="str">
            <v>DS__-A_61-A--</v>
          </cell>
          <cell r="D198" t="str">
            <v>No</v>
          </cell>
          <cell r="E198">
            <v>17000</v>
          </cell>
          <cell r="F198">
            <v>5300</v>
          </cell>
        </row>
        <row r="199">
          <cell r="A199" t="str">
            <v>DS__-A_31-A--</v>
          </cell>
          <cell r="B199" t="str">
            <v>11 kV 800 A Disconnector - Double break,centre rotating (Areva)</v>
          </cell>
          <cell r="C199" t="str">
            <v>DS__-A_31-A--</v>
          </cell>
          <cell r="D199" t="str">
            <v>No</v>
          </cell>
          <cell r="E199">
            <v>6230</v>
          </cell>
          <cell r="F199">
            <v>5614.6</v>
          </cell>
        </row>
        <row r="200">
          <cell r="A200" t="str">
            <v>DS__-A_41-A--</v>
          </cell>
          <cell r="B200" t="str">
            <v>11 kV 1200 A Disconnector - Double break,centre rotating (Areva)</v>
          </cell>
          <cell r="C200" t="str">
            <v>DS__-A_41-A--</v>
          </cell>
          <cell r="D200" t="str">
            <v>No</v>
          </cell>
          <cell r="E200">
            <v>7646.2806</v>
          </cell>
          <cell r="F200">
            <v>6554.3514</v>
          </cell>
        </row>
        <row r="201">
          <cell r="A201" t="str">
            <v>DS__-A_41-S--</v>
          </cell>
          <cell r="B201" t="str">
            <v>11 kV 1200 A Disconnector - Double break,centre rotating (Schneider)</v>
          </cell>
          <cell r="C201" t="str">
            <v>DS__-A_41-S--</v>
          </cell>
          <cell r="D201" t="str">
            <v>No</v>
          </cell>
          <cell r="E201">
            <v>7646.2806</v>
          </cell>
          <cell r="F201">
            <v>6554.3514</v>
          </cell>
        </row>
        <row r="202">
          <cell r="A202" t="str">
            <v>DS__-A_71-A--</v>
          </cell>
          <cell r="B202" t="str">
            <v>11 kV 2400 A Disconnector - Double break,centre rotating (Areva)</v>
          </cell>
          <cell r="C202" t="str">
            <v>DS__-A_71-A--</v>
          </cell>
          <cell r="D202" t="str">
            <v>No</v>
          </cell>
          <cell r="E202">
            <v>14062.123275000002</v>
          </cell>
          <cell r="F202">
            <v>10686.699225</v>
          </cell>
        </row>
        <row r="203">
          <cell r="A203" t="str">
            <v>ES__-A_11-A--</v>
          </cell>
          <cell r="B203" t="str">
            <v>11 kV Earth Switch 800 amp? (Areva)</v>
          </cell>
          <cell r="C203" t="str">
            <v>ES__-A_11-A--</v>
          </cell>
          <cell r="D203" t="str">
            <v>No</v>
          </cell>
          <cell r="E203">
            <v>3000</v>
          </cell>
          <cell r="F203">
            <v>5000</v>
          </cell>
        </row>
        <row r="204">
          <cell r="A204" t="str">
            <v>NCT_-A_41----</v>
          </cell>
          <cell r="B204" t="str">
            <v>11 kV Single Core Neutral Current Transformer (NCT) 1250 A, THREE phase set, stands, Class PX, ratio 800/400/200/1 includes stands, foundations, etc</v>
          </cell>
          <cell r="C204" t="str">
            <v>NCT_-A_41----</v>
          </cell>
          <cell r="D204" t="str">
            <v>Set</v>
          </cell>
          <cell r="E204">
            <v>5562.026153846155</v>
          </cell>
          <cell r="F204">
            <v>2832.9857142857145</v>
          </cell>
        </row>
        <row r="205">
          <cell r="A205" t="str">
            <v>NCT_-A_41----</v>
          </cell>
          <cell r="B205" t="str">
            <v>11 kV Single Core Neutral Current Transformer (NCT) 1250 A, THREE phase set, stands, Class PX, ratio 800/400/200/1 includes stands, foundations, etc</v>
          </cell>
          <cell r="C205" t="str">
            <v>NCT_-A_41----</v>
          </cell>
          <cell r="D205" t="str">
            <v>Set</v>
          </cell>
          <cell r="E205">
            <v>5562.026153846155</v>
          </cell>
          <cell r="F205">
            <v>2832.9857142857145</v>
          </cell>
        </row>
        <row r="206">
          <cell r="A206" t="str">
            <v>NCT_-A_72----</v>
          </cell>
          <cell r="B206" t="str">
            <v>11 kV two Core Neutral Current Transformer (NCT) 2500 A, THREE phase set, stands, Class PX, ratio 800/400/200/1 includes stands, foundations, etc</v>
          </cell>
          <cell r="C206" t="str">
            <v>NCT_-A_72----</v>
          </cell>
          <cell r="D206" t="str">
            <v>Set</v>
          </cell>
          <cell r="E206">
            <v>5562.026153846155</v>
          </cell>
          <cell r="F206">
            <v>2832.9857142857145</v>
          </cell>
        </row>
        <row r="207">
          <cell r="B207" t="str">
            <v>11 kV (cont'd)</v>
          </cell>
        </row>
        <row r="208">
          <cell r="A208" t="str">
            <v>NCT_-A_72----</v>
          </cell>
          <cell r="B208" t="str">
            <v>11 kV two Core Neutral Current Transformer (NCT) 2500 A, THREE phase set, stands, Class PX, ratio 800/400/200/1 includes stands, foundations, etc</v>
          </cell>
          <cell r="C208" t="str">
            <v>NCT_-A_72----</v>
          </cell>
          <cell r="D208" t="str">
            <v>Set</v>
          </cell>
          <cell r="E208">
            <v>5562.026153846155</v>
          </cell>
          <cell r="F208">
            <v>2832.9857142857145</v>
          </cell>
        </row>
        <row r="209">
          <cell r="A209" t="str">
            <v>RES_-A__1----</v>
          </cell>
          <cell r="B209" t="str">
            <v>11 kV Neutral Earthing Resistors (NER)s  includes stands, foundations, etc</v>
          </cell>
          <cell r="C209" t="str">
            <v>RES_-A__1----</v>
          </cell>
          <cell r="D209" t="str">
            <v>No</v>
          </cell>
          <cell r="E209">
            <v>42275.1264</v>
          </cell>
          <cell r="F209">
            <v>11923.753599999996</v>
          </cell>
        </row>
        <row r="210">
          <cell r="A210" t="str">
            <v>REA_-A_X1-T--</v>
          </cell>
          <cell r="B210" t="str">
            <v>11 kV  Reactor 2200MVAr, Trench CLR 6 Series Reactors 3 x single phase, air insulated includes foundations support structure, insulators and interconecting cables</v>
          </cell>
          <cell r="C210" t="str">
            <v>REA_-A_X1-T--</v>
          </cell>
          <cell r="D210" t="str">
            <v>No</v>
          </cell>
          <cell r="E210">
            <v>87000</v>
          </cell>
          <cell r="F210">
            <v>27585.57</v>
          </cell>
        </row>
        <row r="211">
          <cell r="A211" t="str">
            <v>REA_-A_D2----</v>
          </cell>
          <cell r="B211" t="str">
            <v>11 kV  Reactor for 30Mvar capacitor bank, complete with stands, foundations and connection to Cap bank.</v>
          </cell>
          <cell r="C211" t="str">
            <v>REA_-A_D2----</v>
          </cell>
          <cell r="D211" t="str">
            <v>No</v>
          </cell>
          <cell r="E211">
            <v>40000</v>
          </cell>
          <cell r="F211">
            <v>20000</v>
          </cell>
        </row>
        <row r="212">
          <cell r="A212" t="str">
            <v>REA_-A_X3-T--</v>
          </cell>
          <cell r="B212" t="str">
            <v>11 kV  Reactor 2800MVAr, Trench CLR 6 Series Reactors 3 x single phase, air insulated includes foundations support structure, insulators and interconecting cables</v>
          </cell>
          <cell r="C212" t="str">
            <v>REA_-A_X3-T--</v>
          </cell>
          <cell r="D212" t="str">
            <v>No</v>
          </cell>
          <cell r="E212">
            <v>124527.76</v>
          </cell>
          <cell r="F212">
            <v>44555.76</v>
          </cell>
        </row>
        <row r="213">
          <cell r="A213" t="str">
            <v>STR_-A__1-CB--</v>
          </cell>
          <cell r="B213" t="str">
            <v>Foundations for 11 kV  Circuit Breakers- includes support stands and insulators</v>
          </cell>
          <cell r="C213" t="str">
            <v>STR_-A__1-CB--</v>
          </cell>
          <cell r="D213" t="str">
            <v>No</v>
          </cell>
          <cell r="E213">
            <v>3500</v>
          </cell>
          <cell r="F213">
            <v>4500</v>
          </cell>
        </row>
        <row r="214">
          <cell r="A214" t="str">
            <v>STR_-A__1-DS--</v>
          </cell>
          <cell r="B214" t="str">
            <v>Foundations for 11 kV  Disconnector - includes support stands and insulators</v>
          </cell>
          <cell r="C214" t="str">
            <v>STR_-A__1-DS--</v>
          </cell>
          <cell r="D214" t="str">
            <v>No</v>
          </cell>
          <cell r="E214">
            <v>3500</v>
          </cell>
          <cell r="F214">
            <v>4500</v>
          </cell>
        </row>
        <row r="215">
          <cell r="A215" t="str">
            <v>STR_-A__2-CB--</v>
          </cell>
          <cell r="B215" t="str">
            <v>Foundations for 11 kV  Circuit Breakers- EXCLUDES support stands and insulators</v>
          </cell>
          <cell r="C215" t="str">
            <v>STR_-A__2-CB--</v>
          </cell>
          <cell r="D215" t="str">
            <v>No</v>
          </cell>
          <cell r="E215">
            <v>0</v>
          </cell>
          <cell r="F215">
            <v>4500</v>
          </cell>
        </row>
        <row r="216">
          <cell r="A216" t="str">
            <v>STR_-A__2-DS--</v>
          </cell>
          <cell r="B216" t="str">
            <v>Foundations for 11 kV  Disconnector - EXCLUDES support stands and insulators</v>
          </cell>
          <cell r="C216" t="str">
            <v>STR_-A__2-DS--</v>
          </cell>
          <cell r="D216" t="str">
            <v>No</v>
          </cell>
          <cell r="E216">
            <v>0</v>
          </cell>
          <cell r="F216">
            <v>4500</v>
          </cell>
        </row>
        <row r="217">
          <cell r="A217" t="str">
            <v>VT__-A_72---</v>
          </cell>
          <cell r="B217" t="str">
            <v>11 kV 5 limb Voltage Transformer  2500 A, THREE phase set,  Class 0.2/3P,  includes stands, etc</v>
          </cell>
          <cell r="C217" t="str">
            <v>VT__-A_72---</v>
          </cell>
          <cell r="D217" t="str">
            <v>Set</v>
          </cell>
          <cell r="E217">
            <v>8801</v>
          </cell>
          <cell r="F217">
            <v>2000</v>
          </cell>
        </row>
        <row r="218">
          <cell r="A218" t="str">
            <v>VT__-A_72----</v>
          </cell>
          <cell r="B218" t="str">
            <v>11 kV  Voltage Transformer  2500 A,  3 x single phase unit,  Class 0.2/3P,  includes stands,  etc</v>
          </cell>
          <cell r="C218" t="str">
            <v>VT__-A_72----</v>
          </cell>
          <cell r="D218" t="str">
            <v>Set</v>
          </cell>
          <cell r="E218">
            <v>8801</v>
          </cell>
          <cell r="F218">
            <v>2000</v>
          </cell>
        </row>
        <row r="220">
          <cell r="A220" t="str">
            <v>33 kV</v>
          </cell>
          <cell r="B220" t="str">
            <v>33kV</v>
          </cell>
        </row>
        <row r="221">
          <cell r="A221" t="str">
            <v>NOT-USED-33kV-0</v>
          </cell>
          <cell r="B221" t="str">
            <v>Blank Code Used as place filler</v>
          </cell>
          <cell r="C221" t="str">
            <v>NOT-USED-33kV-0</v>
          </cell>
          <cell r="D221" t="str">
            <v>No</v>
          </cell>
          <cell r="E221">
            <v>0</v>
          </cell>
          <cell r="F221">
            <v>0</v>
          </cell>
        </row>
        <row r="222">
          <cell r="A222" t="str">
            <v>BS__-C__-1-</v>
          </cell>
          <cell r="B222" t="str">
            <v>33 kV Bus Insulator support structure for buswork</v>
          </cell>
          <cell r="C222" t="str">
            <v>BS__-C__-1-</v>
          </cell>
          <cell r="D222" t="str">
            <v>Bay</v>
          </cell>
          <cell r="E222">
            <v>3900</v>
          </cell>
          <cell r="F222">
            <v>4600</v>
          </cell>
        </row>
        <row r="223">
          <cell r="A223" t="str">
            <v>BS__-C__-2-0</v>
          </cell>
          <cell r="B223" t="str">
            <v>33 kV Bus insulators</v>
          </cell>
          <cell r="C223" t="str">
            <v>BS__-C__-2-0</v>
          </cell>
          <cell r="D223" t="str">
            <v>Bay</v>
          </cell>
          <cell r="E223">
            <v>1200</v>
          </cell>
          <cell r="F223">
            <v>3330</v>
          </cell>
        </row>
        <row r="224">
          <cell r="A224" t="str">
            <v>BS__-C__-4-0</v>
          </cell>
          <cell r="B224" t="str">
            <v>33 kV Rigid Bus</v>
          </cell>
          <cell r="C224" t="str">
            <v>BS__-C__-4-0</v>
          </cell>
          <cell r="D224" t="str">
            <v>Bay</v>
          </cell>
          <cell r="E224">
            <v>7800</v>
          </cell>
          <cell r="F224">
            <v>5900</v>
          </cell>
        </row>
        <row r="225">
          <cell r="A225" t="str">
            <v>BS__-C__-3-0</v>
          </cell>
          <cell r="B225" t="str">
            <v>33 kV Steel Gantry and girder 8.7m high 15m wide (girder approx 8.7m above gnd)consisting of 813mm OD poles (8m high), 457 OD upper section (5m high) and girder (Same as 220kV gantry)</v>
          </cell>
          <cell r="C225" t="str">
            <v>BS__-C__-3-0</v>
          </cell>
          <cell r="D225" t="str">
            <v>No</v>
          </cell>
          <cell r="E225" t="e">
            <v>#REF!</v>
          </cell>
          <cell r="F225" t="e">
            <v>#REF!</v>
          </cell>
        </row>
        <row r="226">
          <cell r="A226" t="str">
            <v>CBL_-C__-6-0</v>
          </cell>
          <cell r="B226" t="str">
            <v>33 kV cables  Pothead, fabricated from 125 x 65 Channel, 125 x 125 x 5 RHS (all galvanised), includes 33 kV Surge Arrester, 33 kV insulator, link between insulator and surge arrester</v>
          </cell>
          <cell r="C226" t="str">
            <v>CBL_-C__-6-0</v>
          </cell>
          <cell r="D226" t="str">
            <v>No</v>
          </cell>
          <cell r="E226">
            <v>8532</v>
          </cell>
          <cell r="F226">
            <v>4686.4</v>
          </cell>
        </row>
        <row r="227">
          <cell r="A227" t="str">
            <v>CBL_-C___-1-A3_1</v>
          </cell>
          <cell r="B227" t="str">
            <v>33 kV cables  300 mm²  AL XLPE direct bured one cable per phase</v>
          </cell>
          <cell r="C227" t="str">
            <v>CBL_-C___-1-A3_1</v>
          </cell>
          <cell r="D227" t="str">
            <v>per m run </v>
          </cell>
          <cell r="E227">
            <v>140</v>
          </cell>
          <cell r="F227">
            <v>98</v>
          </cell>
        </row>
        <row r="228">
          <cell r="A228" t="str">
            <v>CBL_-C___-1-A3_2</v>
          </cell>
          <cell r="B228" t="str">
            <v>33 kV cables  400 mm²  AL XLPE direct bured one cable per phase</v>
          </cell>
          <cell r="C228" t="str">
            <v>CBL_-C___-1-A3_2</v>
          </cell>
          <cell r="D228" t="str">
            <v>per m run </v>
          </cell>
          <cell r="E228">
            <v>155</v>
          </cell>
          <cell r="F228">
            <v>98</v>
          </cell>
        </row>
        <row r="229">
          <cell r="A229" t="str">
            <v>CBL_-C___-1-A3_3</v>
          </cell>
          <cell r="B229" t="str">
            <v>33 kV cables  500 mm²  AL XLPE direct bured one cable per phase</v>
          </cell>
          <cell r="C229" t="str">
            <v>CBL_-C___-1-A3_3</v>
          </cell>
          <cell r="D229" t="str">
            <v>per m run </v>
          </cell>
          <cell r="E229">
            <v>170</v>
          </cell>
          <cell r="F229">
            <v>150</v>
          </cell>
        </row>
        <row r="230">
          <cell r="A230" t="str">
            <v>CBL_-C___-1-A3_4</v>
          </cell>
          <cell r="B230" t="str">
            <v>33 kV cables  630 mm²  AL XLPE direct bured one cable per phase</v>
          </cell>
          <cell r="C230" t="str">
            <v>CBL_-C___-1-A3_4</v>
          </cell>
          <cell r="D230" t="str">
            <v>per m run </v>
          </cell>
          <cell r="E230">
            <v>185</v>
          </cell>
          <cell r="F230">
            <v>150</v>
          </cell>
        </row>
        <row r="231">
          <cell r="A231" t="str">
            <v>CBL_-C___-1-A3_5</v>
          </cell>
          <cell r="B231" t="str">
            <v>33 kV cables  800 mm²  AL XLPE direct bured one cable per phase</v>
          </cell>
          <cell r="C231" t="str">
            <v>CBL_-C___-1-A3_5</v>
          </cell>
          <cell r="D231" t="str">
            <v>per m run </v>
          </cell>
          <cell r="E231">
            <v>210</v>
          </cell>
          <cell r="F231">
            <v>250</v>
          </cell>
        </row>
        <row r="232">
          <cell r="A232" t="str">
            <v>CBL_-C___-1-A3_6</v>
          </cell>
          <cell r="B232" t="str">
            <v>33 kV cables  1200 mm²  AL XLPE direct bured one cable per phase</v>
          </cell>
          <cell r="C232" t="str">
            <v>CBL_-C___-1-A3_6</v>
          </cell>
          <cell r="D232" t="str">
            <v>per m run </v>
          </cell>
          <cell r="E232">
            <v>380</v>
          </cell>
          <cell r="F232">
            <v>300</v>
          </cell>
        </row>
        <row r="233">
          <cell r="A233" t="str">
            <v>CBL_-C___-1-C4_1</v>
          </cell>
          <cell r="B233" t="str">
            <v>33 kV cables  single core 300 mm2 copper  XLPE direct bured one cable per phase</v>
          </cell>
          <cell r="C233" t="str">
            <v>CBL_-C___-1-C4_1</v>
          </cell>
          <cell r="D233" t="str">
            <v>per m run </v>
          </cell>
          <cell r="E233">
            <v>355</v>
          </cell>
          <cell r="F233">
            <v>98</v>
          </cell>
        </row>
        <row r="234">
          <cell r="A234" t="str">
            <v>CBL_-C___-1-C4_2</v>
          </cell>
          <cell r="B234" t="str">
            <v>33 kV cables  single core 400 mm2  copper XLPE direct bured one cable per phase</v>
          </cell>
          <cell r="C234" t="str">
            <v>CBL_-C___-1-C4_2</v>
          </cell>
          <cell r="D234" t="str">
            <v>per m run </v>
          </cell>
          <cell r="E234">
            <v>450</v>
          </cell>
          <cell r="F234">
            <v>98</v>
          </cell>
        </row>
        <row r="235">
          <cell r="A235" t="str">
            <v>CBL_-C___-1-C4_3</v>
          </cell>
          <cell r="B235" t="str">
            <v>33 kV cables  single core 500 mm2 copper  XLPE direct bured one cable per phase</v>
          </cell>
          <cell r="C235" t="str">
            <v>CBL_-C___-1-C4_3</v>
          </cell>
          <cell r="D235" t="str">
            <v>per m run </v>
          </cell>
          <cell r="E235">
            <v>565</v>
          </cell>
          <cell r="F235">
            <v>150</v>
          </cell>
        </row>
        <row r="236">
          <cell r="A236" t="str">
            <v>CBL_-C___-1-C4_4</v>
          </cell>
          <cell r="B236" t="str">
            <v>33 kV cables  single core 630 mm2  copper XLPE direct bured one cable per phase</v>
          </cell>
          <cell r="C236" t="str">
            <v>CBL_-C___-1-C4_4</v>
          </cell>
          <cell r="D236" t="str">
            <v>per m run </v>
          </cell>
          <cell r="E236">
            <v>630</v>
          </cell>
          <cell r="F236">
            <v>250</v>
          </cell>
        </row>
        <row r="237">
          <cell r="A237" t="str">
            <v>CBL_-C___-1-C4_5</v>
          </cell>
          <cell r="B237" t="str">
            <v>33 kV cables  single core 630 mm2 copper  XLPE  direct bured   (2 cables per phase)</v>
          </cell>
          <cell r="C237" t="str">
            <v>CBL_-C___-1-C4_5</v>
          </cell>
          <cell r="D237" t="str">
            <v>per m run </v>
          </cell>
          <cell r="E237">
            <v>3780</v>
          </cell>
          <cell r="F237">
            <v>350</v>
          </cell>
        </row>
        <row r="238">
          <cell r="A238" t="str">
            <v>CBL_-C___-1-C4_6</v>
          </cell>
          <cell r="B238" t="str">
            <v>33 kV cables  single core 630 mm2  copper XLPE  direct bured   (3 cables per  phase)</v>
          </cell>
          <cell r="C238" t="str">
            <v>CBL_-C___-1-C4_6</v>
          </cell>
          <cell r="D238" t="str">
            <v>per m run </v>
          </cell>
          <cell r="E238">
            <v>1700</v>
          </cell>
          <cell r="F238">
            <v>450</v>
          </cell>
        </row>
        <row r="239">
          <cell r="A239" t="str">
            <v>CBL_-C___-1-C4_7</v>
          </cell>
          <cell r="B239" t="str">
            <v>33 kV cables  single core 630 mm2  copper XLPE  direct bured   (4 cables per  phase)</v>
          </cell>
          <cell r="C239" t="str">
            <v>CBL_-C___-1-C4_7</v>
          </cell>
          <cell r="D239" t="str">
            <v>per m run </v>
          </cell>
          <cell r="E239">
            <v>2525</v>
          </cell>
          <cell r="F239">
            <v>450</v>
          </cell>
        </row>
        <row r="240">
          <cell r="A240" t="str">
            <v>CBL_-C__-1-A3</v>
          </cell>
          <cell r="B240" t="str">
            <v>33 kV cables  300 mm2  AL XLPE direct bured</v>
          </cell>
          <cell r="C240" t="str">
            <v>CBL_-C__-1-A3</v>
          </cell>
          <cell r="D240" t="str">
            <v>m </v>
          </cell>
          <cell r="E240">
            <v>35</v>
          </cell>
          <cell r="F240">
            <v>50</v>
          </cell>
        </row>
        <row r="241">
          <cell r="A241" t="str">
            <v>CBL_-C__-1-C4</v>
          </cell>
          <cell r="B241" t="str">
            <v>33 kV cables  single core copper 400 mm2 XLPE direct bured</v>
          </cell>
          <cell r="C241" t="str">
            <v>CBL_-C__-1-C4</v>
          </cell>
          <cell r="D241" t="str">
            <v>m </v>
          </cell>
          <cell r="E241">
            <v>92</v>
          </cell>
          <cell r="F241">
            <v>98</v>
          </cell>
        </row>
        <row r="242">
          <cell r="A242" t="str">
            <v>CBL_-C__-1-C5</v>
          </cell>
          <cell r="B242" t="str">
            <v>33 kV cables  single core copper 500 mm2 XLPE direct bured</v>
          </cell>
          <cell r="C242" t="str">
            <v>CBL_-C__-1-C5</v>
          </cell>
          <cell r="D242" t="str">
            <v>m </v>
          </cell>
          <cell r="E242">
            <v>103</v>
          </cell>
          <cell r="F242">
            <v>98</v>
          </cell>
        </row>
        <row r="243">
          <cell r="A243" t="str">
            <v>CBL_-C__-1-C6</v>
          </cell>
          <cell r="B243" t="str">
            <v>33 kV cables  single core copper  630 mm2 XLPE  direct bured</v>
          </cell>
          <cell r="C243" t="str">
            <v>CBL_-C__-1-C6</v>
          </cell>
          <cell r="D243" t="str">
            <v>m </v>
          </cell>
          <cell r="E243">
            <v>115</v>
          </cell>
          <cell r="F243">
            <v>98</v>
          </cell>
        </row>
        <row r="244">
          <cell r="A244" t="str">
            <v>CBL_-C__-1-C6_3</v>
          </cell>
          <cell r="B244" t="str">
            <v>33 kV cables  single core copper  630 mm2 XLPE  direct bured   (3 cables per  phase)</v>
          </cell>
          <cell r="C244" t="str">
            <v>CBL_-C__-1-C6_3</v>
          </cell>
          <cell r="D244" t="str">
            <v>m </v>
          </cell>
          <cell r="E244">
            <v>345</v>
          </cell>
          <cell r="F244">
            <v>98</v>
          </cell>
        </row>
        <row r="245">
          <cell r="A245" t="str">
            <v>CBL_-C__-2-C4</v>
          </cell>
          <cell r="B245" t="str">
            <v>33 kV cables  single core copper 400 mm2 XLPE  in cable ducts (see CWKS for Ducts)</v>
          </cell>
          <cell r="C245" t="str">
            <v>CBL_-C__-2-C4</v>
          </cell>
          <cell r="D245" t="str">
            <v>m </v>
          </cell>
          <cell r="E245">
            <v>103</v>
          </cell>
          <cell r="F245">
            <v>98</v>
          </cell>
        </row>
        <row r="246">
          <cell r="A246" t="str">
            <v>CBL_-C__-2-C6</v>
          </cell>
          <cell r="B246" t="str">
            <v>33 kV cables  single core copper 630 mm2 XLPE  in cable ducts (see CWKS for Ducts)</v>
          </cell>
          <cell r="C246" t="str">
            <v>CBL_-C__-2-C6</v>
          </cell>
          <cell r="D246" t="str">
            <v>m </v>
          </cell>
          <cell r="E246">
            <v>115</v>
          </cell>
          <cell r="F246">
            <v>98</v>
          </cell>
        </row>
        <row r="247">
          <cell r="A247" t="str">
            <v>CBL_-C__-5-__PI</v>
          </cell>
          <cell r="B247" t="str">
            <v>33 kV cable  terminations - Pfisterer type indoor (per cable)</v>
          </cell>
          <cell r="C247" t="str">
            <v>CBL_-C__-5-__PI</v>
          </cell>
          <cell r="D247" t="str">
            <v>No</v>
          </cell>
          <cell r="E247">
            <v>660</v>
          </cell>
          <cell r="F247">
            <v>250</v>
          </cell>
        </row>
        <row r="248">
          <cell r="A248" t="str">
            <v>CBL_-C__-5-__PO</v>
          </cell>
          <cell r="B248" t="str">
            <v>33 kV cable  terminations - Pfisterer type outdoor (per cable)</v>
          </cell>
          <cell r="C248" t="str">
            <v>CBL_-C__-5-__PO</v>
          </cell>
          <cell r="D248" t="str">
            <v>No</v>
          </cell>
          <cell r="E248">
            <v>660</v>
          </cell>
          <cell r="F248">
            <v>250</v>
          </cell>
        </row>
        <row r="249">
          <cell r="A249" t="str">
            <v>CBL_-C__-5-__RI</v>
          </cell>
          <cell r="B249" t="str">
            <v>33 kV cable terminations Indoors (Raychem type joints per cable) </v>
          </cell>
          <cell r="C249" t="str">
            <v>CBL_-C__-5-__RI</v>
          </cell>
          <cell r="D249" t="str">
            <v>No</v>
          </cell>
          <cell r="E249">
            <v>100</v>
          </cell>
          <cell r="F249">
            <v>125</v>
          </cell>
        </row>
        <row r="250">
          <cell r="A250" t="str">
            <v>CBL_-C__-5-__RO</v>
          </cell>
          <cell r="B250" t="str">
            <v>33 kV cable termination outdoor (Raychem type joints per cable)  </v>
          </cell>
          <cell r="C250" t="str">
            <v>CBL_-C__-5-__RO</v>
          </cell>
          <cell r="D250" t="str">
            <v>No</v>
          </cell>
          <cell r="E250">
            <v>150</v>
          </cell>
          <cell r="F250">
            <v>125</v>
          </cell>
        </row>
        <row r="251">
          <cell r="A251" t="str">
            <v>CB__-C_4-1-A</v>
          </cell>
          <cell r="B251" t="str">
            <v>33 kV Circuit Breaker, 600-1250 Amp Indoor, Gas Insulated, Areva,(use BDG_ALLARE building rate for Sw room) - </v>
          </cell>
          <cell r="C251" t="str">
            <v>CB__-C_4-1-A</v>
          </cell>
          <cell r="D251" t="str">
            <v>No</v>
          </cell>
          <cell r="E251">
            <v>61500</v>
          </cell>
          <cell r="F251">
            <v>7000</v>
          </cell>
        </row>
        <row r="252">
          <cell r="A252" t="str">
            <v>CB__-C_4-1-O</v>
          </cell>
          <cell r="B252" t="str">
            <v>33 kV Circuit Breaker, 600-1250 Amp Indoor, Gas Insulated, (use BDG_ALLOTH  building rate for Sw room) - </v>
          </cell>
          <cell r="C252" t="str">
            <v>CB__-C_4-1-O</v>
          </cell>
          <cell r="D252" t="str">
            <v>No</v>
          </cell>
          <cell r="E252">
            <v>45000</v>
          </cell>
          <cell r="F252">
            <v>4700</v>
          </cell>
        </row>
        <row r="253">
          <cell r="A253" t="str">
            <v>CB__-C_4-2-S_DB</v>
          </cell>
          <cell r="B253" t="str">
            <v>33 kV Circuit Breaker,1250 Amp Outdoor, dog box, Schnieder</v>
          </cell>
          <cell r="C253" t="str">
            <v>CB__-C_4-2-S_DB</v>
          </cell>
          <cell r="D253" t="str">
            <v>No</v>
          </cell>
          <cell r="E253">
            <v>58300</v>
          </cell>
          <cell r="F253">
            <v>39000</v>
          </cell>
        </row>
        <row r="254">
          <cell r="A254" t="str">
            <v>CB__-C_4-2-X_DT</v>
          </cell>
          <cell r="B254" t="str">
            <v>33 kV Circuit Breaker,1250 Amp Outdoor, Dead tank, Gas Insulated</v>
          </cell>
          <cell r="C254" t="str">
            <v>CB__-C_4-2-X_DT</v>
          </cell>
          <cell r="D254" t="str">
            <v>No</v>
          </cell>
          <cell r="E254">
            <v>87500</v>
          </cell>
          <cell r="F254">
            <v>26500</v>
          </cell>
        </row>
        <row r="255">
          <cell r="A255" t="str">
            <v>CT__-C_4-1-5</v>
          </cell>
          <cell r="B255" t="str">
            <v>33 kV Current Transformer 1250 A 25KA 5 core (THREE phase set)</v>
          </cell>
          <cell r="C255" t="str">
            <v>CT__-C_4-1-5</v>
          </cell>
          <cell r="D255" t="str">
            <v>Set</v>
          </cell>
          <cell r="E255">
            <v>8600</v>
          </cell>
          <cell r="F255">
            <v>15000</v>
          </cell>
        </row>
        <row r="256">
          <cell r="A256" t="str">
            <v>CT__-C_7-1-5</v>
          </cell>
          <cell r="B256" t="str">
            <v>33 kV Current Transformer 2500 A 25KA 5 core (THREE phase set)</v>
          </cell>
          <cell r="C256" t="str">
            <v>CT__-C_7-1-5</v>
          </cell>
          <cell r="D256" t="str">
            <v>Set</v>
          </cell>
          <cell r="E256">
            <v>8600</v>
          </cell>
          <cell r="F256">
            <v>15000</v>
          </cell>
        </row>
        <row r="257">
          <cell r="A257" t="str">
            <v>DS__-C_3-1-C</v>
          </cell>
          <cell r="B257" t="str">
            <v>33 kV Disconnector 800 A  - Double break,centre rotating ( Canteng IRW or similar)</v>
          </cell>
          <cell r="C257" t="str">
            <v>DS__-C_3-1-C</v>
          </cell>
          <cell r="D257" t="str">
            <v>No</v>
          </cell>
          <cell r="E257">
            <v>14100</v>
          </cell>
          <cell r="F257">
            <v>7200</v>
          </cell>
        </row>
        <row r="258">
          <cell r="A258" t="str">
            <v>DS__-C_4-1-C</v>
          </cell>
          <cell r="B258" t="str">
            <v>33 kV Disconnector 1200 A  - Double break,centre rotating ( Canteng IRW or similar)</v>
          </cell>
          <cell r="C258" t="str">
            <v>DS__-C_4-1-C</v>
          </cell>
          <cell r="D258" t="str">
            <v>No</v>
          </cell>
          <cell r="E258">
            <v>7600</v>
          </cell>
          <cell r="F258">
            <v>6500</v>
          </cell>
        </row>
        <row r="259">
          <cell r="A259" t="str">
            <v>DS__-C_7-1-C</v>
          </cell>
          <cell r="B259" t="str">
            <v>33 kV Disconnector 2400 A  - Double break,centre rotating ( Canteng IRW or similar)</v>
          </cell>
          <cell r="C259" t="str">
            <v>DS__-C_7-1-C</v>
          </cell>
          <cell r="D259" t="str">
            <v>No</v>
          </cell>
          <cell r="E259">
            <v>14100</v>
          </cell>
          <cell r="F259">
            <v>10700</v>
          </cell>
        </row>
        <row r="260">
          <cell r="A260" t="str">
            <v>DS__-C_5-1-C</v>
          </cell>
          <cell r="B260" t="str">
            <v>33  kV Earth Switch1600A  (Canterbury Engineering/Areva)</v>
          </cell>
          <cell r="C260" t="str">
            <v>DS__-C_5-1-C</v>
          </cell>
          <cell r="D260" t="str">
            <v>No</v>
          </cell>
          <cell r="E260">
            <v>3000</v>
          </cell>
          <cell r="F260">
            <v>5000</v>
          </cell>
        </row>
        <row r="261">
          <cell r="A261" t="str">
            <v>STR_-C__-4-LS</v>
          </cell>
          <cell r="B261" t="str">
            <v>Local Service TX foundations</v>
          </cell>
          <cell r="C261" t="str">
            <v>STR_-C__-4-LS</v>
          </cell>
          <cell r="D261" t="str">
            <v>No</v>
          </cell>
          <cell r="E261">
            <v>0</v>
          </cell>
          <cell r="F261">
            <v>5000</v>
          </cell>
        </row>
        <row r="262">
          <cell r="A262" t="str">
            <v>APS_-CLA1--</v>
          </cell>
          <cell r="B262" t="str">
            <v>33kV /415V Local Service TX 100 KVA</v>
          </cell>
          <cell r="C262" t="str">
            <v>APS_-CLA1--</v>
          </cell>
          <cell r="D262" t="str">
            <v>No</v>
          </cell>
          <cell r="E262">
            <v>9700</v>
          </cell>
          <cell r="F262">
            <v>2600</v>
          </cell>
        </row>
        <row r="263">
          <cell r="A263" t="str">
            <v>APS_-CLB1--</v>
          </cell>
          <cell r="B263" t="str">
            <v>33kV /415V Local Service TX 200 KVA</v>
          </cell>
          <cell r="C263" t="str">
            <v>APS_-CLB1--</v>
          </cell>
          <cell r="D263" t="str">
            <v>No</v>
          </cell>
          <cell r="E263">
            <v>27600</v>
          </cell>
          <cell r="F263">
            <v>7400</v>
          </cell>
        </row>
        <row r="264">
          <cell r="A264" t="str">
            <v>NCT_-C_41-___-</v>
          </cell>
          <cell r="B264" t="str">
            <v>33  kV Neutral Current Transformer 1250 A   including stands Class PX ratio 2400/1200/600/1</v>
          </cell>
          <cell r="C264" t="str">
            <v>NCT_-C_41-___-</v>
          </cell>
          <cell r="D264" t="str">
            <v>No</v>
          </cell>
          <cell r="E264">
            <v>7000</v>
          </cell>
          <cell r="F264">
            <v>1800</v>
          </cell>
        </row>
        <row r="265">
          <cell r="A265" t="str">
            <v>NCT-C_31-___-</v>
          </cell>
          <cell r="B265" t="str">
            <v>33  kV Neutral Current Transformer 800 A 3 phase set including stands Class PX ratio 800/500/200/1</v>
          </cell>
          <cell r="C265" t="str">
            <v>NCT-C_31-___-</v>
          </cell>
          <cell r="D265" t="str">
            <v>Set</v>
          </cell>
          <cell r="E265">
            <v>5000</v>
          </cell>
          <cell r="F265">
            <v>3000</v>
          </cell>
        </row>
        <row r="266">
          <cell r="A266" t="str">
            <v>NCT-C_32-___-</v>
          </cell>
          <cell r="B266" t="str">
            <v>33kVNeutral Current Transformer 800 A 3 phase set including stands Class X ratio  500/200/1  </v>
          </cell>
          <cell r="C266" t="str">
            <v>NCT-C_32-___-</v>
          </cell>
          <cell r="D266" t="str">
            <v>Set</v>
          </cell>
          <cell r="E266">
            <v>4400</v>
          </cell>
          <cell r="F266">
            <v>6000</v>
          </cell>
        </row>
        <row r="267">
          <cell r="A267" t="str">
            <v>RES_-C__-1-_38</v>
          </cell>
          <cell r="B267" t="str">
            <v>33  kV Neutral Earthing Resistors (NER)s 38 ohm includes foundations</v>
          </cell>
          <cell r="C267" t="str">
            <v>RES_-C__-1-_38</v>
          </cell>
          <cell r="D267" t="str">
            <v>No</v>
          </cell>
          <cell r="E267">
            <v>73500</v>
          </cell>
          <cell r="F267">
            <v>7500</v>
          </cell>
        </row>
        <row r="268">
          <cell r="A268" t="str">
            <v>RES_-C__-2-_05</v>
          </cell>
          <cell r="B268" t="str">
            <v>33  kV Neutral Earthing Resistors (NER)s  5 ohm , 50A including  NCT and foundations</v>
          </cell>
          <cell r="C268" t="str">
            <v>RES_-C__-2-_05</v>
          </cell>
          <cell r="D268" t="str">
            <v>No</v>
          </cell>
          <cell r="E268">
            <v>60085</v>
          </cell>
          <cell r="F268">
            <v>7500</v>
          </cell>
        </row>
        <row r="269">
          <cell r="A269" t="str">
            <v>RES_-C__-1-_11</v>
          </cell>
          <cell r="B269" t="str">
            <v>33  kV Neutral Earthing Resistors (NER)s  110 Ohm , 15A including  NCT and foundations</v>
          </cell>
          <cell r="C269" t="str">
            <v>RES_-C__-1-_11</v>
          </cell>
          <cell r="D269" t="str">
            <v>No</v>
          </cell>
          <cell r="E269">
            <v>34000</v>
          </cell>
          <cell r="F269">
            <v>7500</v>
          </cell>
        </row>
        <row r="270">
          <cell r="A270" t="str">
            <v>REA_-C_X1-T-</v>
          </cell>
          <cell r="B270" t="str">
            <v>33 kV  Reactor 2800MVAr, Trench CLR 6 Series Reactors 3 x single phase, air insulated includes foundations support structure, insulators and interconecting cables</v>
          </cell>
          <cell r="C270" t="str">
            <v>REA_-C_X1-T-</v>
          </cell>
          <cell r="D270" t="str">
            <v>No</v>
          </cell>
          <cell r="E270">
            <v>124500</v>
          </cell>
          <cell r="F270">
            <v>44500</v>
          </cell>
        </row>
        <row r="271">
          <cell r="A271" t="str">
            <v>SA__-C__-1-CA</v>
          </cell>
          <cell r="B271" t="str">
            <v>33 kV  Surge Arresters &amp; Surge Diverters (three phase set), 26.3 kA, 170 kV ABB EXLIM Q33 xH36.</v>
          </cell>
          <cell r="C271" t="str">
            <v>SA__-C__-1-CA</v>
          </cell>
          <cell r="D271" t="str">
            <v>Set</v>
          </cell>
          <cell r="E271">
            <v>5295</v>
          </cell>
          <cell r="F271">
            <v>7900</v>
          </cell>
        </row>
        <row r="272">
          <cell r="A272" t="str">
            <v>STR_-C__-1-CB</v>
          </cell>
          <cell r="B272" t="str">
            <v>Foundation work for 33 GIS CB (Outdoor) (includes stands)</v>
          </cell>
          <cell r="C272" t="str">
            <v>STR_-C__-1-CB</v>
          </cell>
          <cell r="D272" t="str">
            <v>No</v>
          </cell>
          <cell r="E272">
            <v>5000</v>
          </cell>
          <cell r="F272">
            <v>4500</v>
          </cell>
        </row>
        <row r="274">
          <cell r="A274" t="str">
            <v>STR_-C__-2-CB</v>
          </cell>
          <cell r="B274" t="str">
            <v>Foundation work for 33 GIS CB (Outdoor) Excludes stands</v>
          </cell>
          <cell r="C274" t="str">
            <v>STR_-C__-2-CB</v>
          </cell>
          <cell r="D274" t="str">
            <v>No</v>
          </cell>
          <cell r="E274">
            <v>0</v>
          </cell>
          <cell r="F274">
            <v>4500</v>
          </cell>
        </row>
        <row r="275">
          <cell r="A275" t="str">
            <v>STR_-C__-2-DS</v>
          </cell>
          <cell r="B275" t="str">
            <v>Foundation work for 33 kV CB (Outdoor) DS, CT's etc  EXCLUDES stands</v>
          </cell>
          <cell r="C275" t="str">
            <v>STR_-C__-2-DS</v>
          </cell>
          <cell r="D275" t="str">
            <v>No</v>
          </cell>
          <cell r="E275">
            <v>0</v>
          </cell>
          <cell r="F275">
            <v>4500</v>
          </cell>
        </row>
        <row r="276">
          <cell r="A276" t="str">
            <v>STR_-C__-2-REA</v>
          </cell>
          <cell r="B276" t="str">
            <v>Foundations for reactors EXCLUDES stands</v>
          </cell>
          <cell r="C276" t="str">
            <v>STR_-C__-2-REA</v>
          </cell>
          <cell r="D276" t="str">
            <v>No</v>
          </cell>
          <cell r="E276">
            <v>0</v>
          </cell>
          <cell r="F276">
            <v>15000</v>
          </cell>
        </row>
        <row r="277">
          <cell r="A277" t="str">
            <v>STR_-C__-1-DS</v>
          </cell>
          <cell r="B277" t="str">
            <v>foundation for three phase set - CT,  NCT's and VT's includes  stands</v>
          </cell>
          <cell r="C277" t="str">
            <v>STR_-C__-1-DS</v>
          </cell>
          <cell r="D277" t="str">
            <v>Set</v>
          </cell>
          <cell r="E277">
            <v>1400</v>
          </cell>
          <cell r="F277">
            <v>4500</v>
          </cell>
        </row>
        <row r="278">
          <cell r="A278" t="str">
            <v>STR-C__-2-INS</v>
          </cell>
          <cell r="B278" t="str">
            <v>Foundations for 33 kV bus concrete post insulator support</v>
          </cell>
          <cell r="C278" t="str">
            <v>STR-C__-2-INS</v>
          </cell>
          <cell r="D278" t="str">
            <v>No</v>
          </cell>
          <cell r="E278">
            <v>1850</v>
          </cell>
          <cell r="F278">
            <v>1500</v>
          </cell>
        </row>
        <row r="279">
          <cell r="A279" t="str">
            <v>TWR_-C__-1-STE</v>
          </cell>
          <cell r="B279" t="str">
            <v>33 kV Steel tower  </v>
          </cell>
          <cell r="C279" t="str">
            <v>TWR_-C__-1-STE</v>
          </cell>
          <cell r="D279" t="str">
            <v>tonne</v>
          </cell>
          <cell r="E279">
            <v>3500</v>
          </cell>
          <cell r="F279">
            <v>1200</v>
          </cell>
        </row>
        <row r="280">
          <cell r="B280" t="str">
            <v>33 kV (cont'd)</v>
          </cell>
        </row>
        <row r="281">
          <cell r="A281" t="str">
            <v>STR-C__-2-TF</v>
          </cell>
          <cell r="B281" t="str">
            <v>33 kV Transformer foundations supply and erect</v>
          </cell>
          <cell r="C281" t="str">
            <v>STR-C__-2-TF</v>
          </cell>
          <cell r="D281" t="str">
            <v>No</v>
          </cell>
          <cell r="E281">
            <v>0</v>
          </cell>
          <cell r="F281">
            <v>25000</v>
          </cell>
        </row>
        <row r="282">
          <cell r="A282" t="str">
            <v>VT__-C__-2-_30</v>
          </cell>
          <cell r="B282" t="str">
            <v>33  kV Voltage Transformer SINGLE phase unit  Class 0.2/3P 30VA</v>
          </cell>
          <cell r="C282" t="str">
            <v>VT__-C__-2-_30</v>
          </cell>
          <cell r="D282" t="str">
            <v>Unit</v>
          </cell>
          <cell r="E282">
            <v>2681.8181818181815</v>
          </cell>
          <cell r="F282">
            <v>2000</v>
          </cell>
        </row>
        <row r="283">
          <cell r="A283" t="str">
            <v>VT__-C_7-2-</v>
          </cell>
          <cell r="B283" t="str">
            <v>33 kV 5 limb Voltage Transformer  2500 A, THREE phase set,  Class 0.2/3P,  includes stands, etc</v>
          </cell>
          <cell r="C283" t="str">
            <v>VT__-C_7-2-</v>
          </cell>
          <cell r="D283" t="str">
            <v>Set</v>
          </cell>
          <cell r="E283">
            <v>8801</v>
          </cell>
          <cell r="F283">
            <v>2000</v>
          </cell>
        </row>
        <row r="284">
          <cell r="A284" t="str">
            <v>VT__-C_7-2-</v>
          </cell>
          <cell r="B284" t="str">
            <v>33 kV 5 limb Voltage Transformer  2500 A, THREE phase set,  Class 0.2/3P,  includes stands, etc</v>
          </cell>
          <cell r="C284" t="str">
            <v>VT__-C_7-2-</v>
          </cell>
          <cell r="D284" t="str">
            <v>Set</v>
          </cell>
          <cell r="E284">
            <v>8801</v>
          </cell>
          <cell r="F284">
            <v>2000</v>
          </cell>
        </row>
        <row r="287">
          <cell r="A287" t="str">
            <v>66 kV</v>
          </cell>
          <cell r="B287" t="str">
            <v>66 kV</v>
          </cell>
        </row>
        <row r="288">
          <cell r="A288" t="str">
            <v>NOT-USED-66kV--</v>
          </cell>
          <cell r="B288" t="str">
            <v>Blank Code Used as place filler</v>
          </cell>
          <cell r="C288" t="str">
            <v>NOT-USED-66kV--</v>
          </cell>
          <cell r="D288" t="str">
            <v>No</v>
          </cell>
          <cell r="E288">
            <v>0</v>
          </cell>
          <cell r="F288">
            <v>0</v>
          </cell>
        </row>
        <row r="289">
          <cell r="A289" t="str">
            <v>BS__-E__-1--</v>
          </cell>
          <cell r="B289" t="str">
            <v>66 kV Bus Insulator support structure for buswork</v>
          </cell>
          <cell r="C289" t="str">
            <v>BS__-E__-1--</v>
          </cell>
          <cell r="D289" t="str">
            <v>No</v>
          </cell>
          <cell r="E289">
            <v>0.1</v>
          </cell>
          <cell r="F289">
            <v>0.2</v>
          </cell>
        </row>
        <row r="290">
          <cell r="A290" t="str">
            <v>BS__-E__-2--</v>
          </cell>
          <cell r="B290" t="str">
            <v>66 kV Bus insulators</v>
          </cell>
          <cell r="C290" t="str">
            <v>BS__-E__-2--</v>
          </cell>
          <cell r="D290" t="str">
            <v>No</v>
          </cell>
          <cell r="E290">
            <v>0.1</v>
          </cell>
          <cell r="F290">
            <v>0.2</v>
          </cell>
        </row>
        <row r="291">
          <cell r="A291" t="str">
            <v>BS__-E__-G03--</v>
          </cell>
          <cell r="B291" t="str">
            <v>66 kV Aluminium Gantry Girder</v>
          </cell>
          <cell r="C291" t="str">
            <v>BS__-E__-G03--</v>
          </cell>
          <cell r="D291" t="str">
            <v>No</v>
          </cell>
          <cell r="E291">
            <v>0.1</v>
          </cell>
          <cell r="F291">
            <v>0.2</v>
          </cell>
        </row>
        <row r="292">
          <cell r="A292" t="str">
            <v>BS__-E__-T01--</v>
          </cell>
          <cell r="B292" t="str">
            <v>66 kV Aluminium Tower</v>
          </cell>
          <cell r="C292" t="str">
            <v>BS__-E__-T01--</v>
          </cell>
          <cell r="D292" t="str">
            <v>No</v>
          </cell>
          <cell r="E292">
            <v>0.1</v>
          </cell>
          <cell r="F292">
            <v>0.2</v>
          </cell>
        </row>
        <row r="293">
          <cell r="A293" t="str">
            <v>BS__-E__-P06--</v>
          </cell>
          <cell r="B293" t="str">
            <v>66 kV concrete pole 6 metres high</v>
          </cell>
          <cell r="C293" t="str">
            <v>BS__-E__-P06--</v>
          </cell>
          <cell r="D293" t="str">
            <v>No</v>
          </cell>
          <cell r="E293">
            <v>0.1</v>
          </cell>
          <cell r="F293">
            <v>0.2</v>
          </cell>
        </row>
        <row r="294">
          <cell r="A294" t="str">
            <v>BS__E__IGD</v>
          </cell>
          <cell r="B294" t="str">
            <v>66 kV Rigid Bus  bay length 10.8m, steel insulator posts 3.1m high, 110kV insulators, 50mm dia alloy bus, twin butterfly flexible and fittings at one end</v>
          </cell>
          <cell r="C294" t="str">
            <v>BS__E__IGD</v>
          </cell>
          <cell r="D294" t="str">
            <v>Bay</v>
          </cell>
          <cell r="E294">
            <v>14700</v>
          </cell>
          <cell r="F294">
            <v>26900</v>
          </cell>
        </row>
        <row r="295">
          <cell r="A295" t="str">
            <v>BS__-E__-3__--</v>
          </cell>
          <cell r="B295" t="str">
            <v>66 kV Steel Gantry and girder 8.7m high 15m wide (girder approx 8.7m above gnd)consisting of 813mm OD poles (8m high), 457 OD upper section (5m high) and girder (Same as 220kV gantry)</v>
          </cell>
          <cell r="C295" t="str">
            <v>BS__-E__-3__--</v>
          </cell>
          <cell r="D295" t="str">
            <v>No</v>
          </cell>
          <cell r="E295" t="e">
            <v>#REF!</v>
          </cell>
          <cell r="F295" t="e">
            <v>#REF!</v>
          </cell>
        </row>
        <row r="296">
          <cell r="A296" t="str">
            <v>BS__-E__-3S_-3</v>
          </cell>
          <cell r="B296" t="str">
            <v>66 kV Steel Gantry Girder 3 metres wide</v>
          </cell>
          <cell r="C296" t="str">
            <v>BS__-E__-3S_-3</v>
          </cell>
          <cell r="D296" t="str">
            <v>No</v>
          </cell>
          <cell r="E296">
            <v>0.1</v>
          </cell>
          <cell r="F296">
            <v>0.2</v>
          </cell>
        </row>
        <row r="297">
          <cell r="A297" t="str">
            <v>BS__-E__-5S7--</v>
          </cell>
          <cell r="B297" t="str">
            <v>66 kV Steel tower  7 metres high</v>
          </cell>
          <cell r="C297" t="str">
            <v>BS__-E__-5S7--</v>
          </cell>
          <cell r="D297" t="str">
            <v>No</v>
          </cell>
          <cell r="E297">
            <v>0.1</v>
          </cell>
          <cell r="F297">
            <v>0.2</v>
          </cell>
        </row>
        <row r="298">
          <cell r="A298" t="str">
            <v>BS__-E__-2__--</v>
          </cell>
          <cell r="B298" t="str">
            <v>66 kV Strung Bus </v>
          </cell>
          <cell r="C298" t="str">
            <v>BS__-E__-2__--</v>
          </cell>
          <cell r="D298" t="str">
            <v>Bus</v>
          </cell>
          <cell r="E298">
            <v>0.1</v>
          </cell>
          <cell r="F298">
            <v>0.2</v>
          </cell>
        </row>
        <row r="299">
          <cell r="A299" t="str">
            <v>BS__-E__-6I_--</v>
          </cell>
          <cell r="B299" t="str">
            <v>66 kV Bus insulators for new "T" structure</v>
          </cell>
          <cell r="C299" t="str">
            <v>BS__-E__-6I_--</v>
          </cell>
          <cell r="D299" t="str">
            <v>No</v>
          </cell>
          <cell r="E299">
            <v>0.1</v>
          </cell>
          <cell r="F299">
            <v>0.2</v>
          </cell>
        </row>
        <row r="300">
          <cell r="A300" t="str">
            <v>BS__-E__-6__--</v>
          </cell>
          <cell r="B300" t="str">
            <v>66 kV steel "T" tower , includes single steel upright and cross beam.</v>
          </cell>
          <cell r="C300" t="str">
            <v>BS__-E__-6__--</v>
          </cell>
          <cell r="D300" t="str">
            <v>No</v>
          </cell>
          <cell r="E300">
            <v>0.1</v>
          </cell>
          <cell r="F300">
            <v>0.2</v>
          </cell>
        </row>
        <row r="301">
          <cell r="A301" t="str">
            <v>STR_-E__-_66--</v>
          </cell>
          <cell r="B301" t="str">
            <v>66 kV Bus concrete support structure for buswork includes insulators, clamps, conductor, etc</v>
          </cell>
          <cell r="C301" t="str">
            <v>STR_-E__-_66--</v>
          </cell>
          <cell r="D301" t="str">
            <v>No</v>
          </cell>
          <cell r="E301">
            <v>0.1</v>
          </cell>
          <cell r="F301">
            <v>0.2</v>
          </cell>
        </row>
        <row r="302">
          <cell r="A302" t="str">
            <v>STR_-E__-_66--</v>
          </cell>
          <cell r="B302" t="str">
            <v>66 kV Bus concrete support structure for buswork includes insulators, clamps, conductor, etc</v>
          </cell>
          <cell r="C302" t="str">
            <v>STR_-E__-_66--</v>
          </cell>
          <cell r="D302" t="str">
            <v>No</v>
          </cell>
          <cell r="E302">
            <v>0.1</v>
          </cell>
          <cell r="F302">
            <v>0.2</v>
          </cell>
        </row>
        <row r="303">
          <cell r="A303" t="str">
            <v>CBL_-E__-1--</v>
          </cell>
          <cell r="B303" t="str">
            <v>66 kV cables  Pothead, fabricated from 125 x 65 Channel, 125 x 125 x 5 RHS (all galvanised), includes 66 kV Surge Arrester, 66 kV insulator, link between insulator and surge arrester (three phase set )</v>
          </cell>
          <cell r="C303" t="str">
            <v>CBL_-E__-1--</v>
          </cell>
          <cell r="D303" t="str">
            <v>No</v>
          </cell>
          <cell r="E303">
            <v>8532</v>
          </cell>
          <cell r="F303">
            <v>4686.4</v>
          </cell>
        </row>
        <row r="304">
          <cell r="A304" t="str">
            <v>CB__-E_6-1-__RO</v>
          </cell>
          <cell r="B304" t="str">
            <v>66 kV 2000 Amp Gas Insulated Circuit Breaker Live Tank, 31.5 kA </v>
          </cell>
          <cell r="C304" t="str">
            <v>CB__-E_6-1-__RO</v>
          </cell>
          <cell r="D304" t="str">
            <v>No</v>
          </cell>
          <cell r="E304">
            <v>34500</v>
          </cell>
          <cell r="F304">
            <v>21000</v>
          </cell>
        </row>
        <row r="305">
          <cell r="A305" t="str">
            <v>CB__-E_7-1-A </v>
          </cell>
          <cell r="B305" t="str">
            <v>66 kV 2500 Amp Gas Insulated Circuit Breaker Live Tank, 31.5 kA </v>
          </cell>
          <cell r="C305" t="str">
            <v>CB__-E_7-1-A </v>
          </cell>
          <cell r="D305" t="str">
            <v>No</v>
          </cell>
          <cell r="E305">
            <v>40500</v>
          </cell>
          <cell r="F305">
            <v>26500</v>
          </cell>
        </row>
        <row r="306">
          <cell r="A306" t="str">
            <v>CB__-E_7-2-S</v>
          </cell>
          <cell r="B306" t="str">
            <v>66 kV 2500 Amp Gas Insulated Circuit Breaker Dead Tank, 31.5 kA complete with CT's and stands</v>
          </cell>
          <cell r="C306" t="str">
            <v>CB__-E_7-2-S</v>
          </cell>
          <cell r="D306" t="str">
            <v>No</v>
          </cell>
          <cell r="E306">
            <v>58150</v>
          </cell>
          <cell r="F306">
            <v>21000</v>
          </cell>
        </row>
        <row r="307">
          <cell r="A307" t="str">
            <v>CB__-E_7-2-S</v>
          </cell>
          <cell r="B307" t="str">
            <v>66 kV 2500 Amp Gas Insulated Circuit Breaker Dead Tank, 31.5 kA complete with CT's and stands</v>
          </cell>
          <cell r="C307" t="str">
            <v>CB__-E_7-2-S</v>
          </cell>
          <cell r="D307" t="str">
            <v>No</v>
          </cell>
          <cell r="E307">
            <v>58150</v>
          </cell>
          <cell r="F307">
            <v>21000</v>
          </cell>
        </row>
        <row r="308">
          <cell r="A308" t="str">
            <v>CB__-E_8-1-A </v>
          </cell>
          <cell r="B308" t="str">
            <v>66 kV 3000 Amp Gas Insulated Circuit Breaker Live Tank, 31.5 kA </v>
          </cell>
          <cell r="C308" t="str">
            <v>CB__-E_8-1-A </v>
          </cell>
          <cell r="D308" t="str">
            <v>No</v>
          </cell>
          <cell r="E308">
            <v>43500</v>
          </cell>
          <cell r="F308">
            <v>39500</v>
          </cell>
        </row>
        <row r="309">
          <cell r="A309" t="str">
            <v>CVT_-E__-1-_P</v>
          </cell>
          <cell r="B309" t="str">
            <v>66 kV CVT SINGLE  phase10,000pF ,</v>
          </cell>
          <cell r="C309" t="str">
            <v>CVT_-E__-1-_P</v>
          </cell>
          <cell r="D309" t="str">
            <v>Unit</v>
          </cell>
          <cell r="E309">
            <v>8500</v>
          </cell>
          <cell r="F309">
            <v>15000</v>
          </cell>
        </row>
        <row r="310">
          <cell r="A310" t="str">
            <v>CT__-E__-2-AP_A</v>
          </cell>
          <cell r="B310" t="str">
            <v>66 kV Current Transformer five core THREE phase unit1200 A 25 kA 5 core (Arteche) Class PX</v>
          </cell>
          <cell r="C310" t="str">
            <v>CT__-E__-2-AP_A</v>
          </cell>
          <cell r="D310" t="str">
            <v>Set</v>
          </cell>
          <cell r="E310">
            <v>22200</v>
          </cell>
          <cell r="F310">
            <v>15500</v>
          </cell>
        </row>
        <row r="311">
          <cell r="A311" t="str">
            <v>CT__-E__-2-NP_B</v>
          </cell>
          <cell r="B311" t="str">
            <v>66 kV  THREE phase 5 core 1440 A Current Transformer (Nissin) Class 0.2</v>
          </cell>
          <cell r="C311" t="str">
            <v>CT__-E__-2-NP_B</v>
          </cell>
          <cell r="D311" t="str">
            <v>Set</v>
          </cell>
          <cell r="E311">
            <v>36900</v>
          </cell>
          <cell r="F311">
            <v>16900</v>
          </cell>
        </row>
        <row r="312">
          <cell r="A312" t="str">
            <v>DS__-E_3-1-A</v>
          </cell>
          <cell r="B312" t="str">
            <v>66 kV 800 A Disconnector - Double break,centre rotating (Areva)</v>
          </cell>
          <cell r="C312" t="str">
            <v>DS__-E_3-1-A</v>
          </cell>
          <cell r="D312" t="str">
            <v>No</v>
          </cell>
          <cell r="E312">
            <v>13800</v>
          </cell>
          <cell r="F312">
            <v>9200</v>
          </cell>
        </row>
        <row r="313">
          <cell r="A313" t="str">
            <v>DS__-E_7-3-___R</v>
          </cell>
          <cell r="B313" t="str">
            <v>66 kV  2500A Disconnector - vertical break refurbishment</v>
          </cell>
          <cell r="C313" t="str">
            <v>DS__-E_7-3-___R</v>
          </cell>
          <cell r="D313" t="str">
            <v>No</v>
          </cell>
          <cell r="E313">
            <v>0</v>
          </cell>
          <cell r="F313">
            <v>10800</v>
          </cell>
        </row>
        <row r="314">
          <cell r="A314" t="str">
            <v>DS__-E_8-1-___R</v>
          </cell>
          <cell r="B314" t="str">
            <v>66 kV   3150 Disconnector - Double break refurbishment</v>
          </cell>
          <cell r="C314" t="str">
            <v>DS__-E_8-1-___R</v>
          </cell>
          <cell r="D314" t="str">
            <v>No</v>
          </cell>
          <cell r="E314">
            <v>0</v>
          </cell>
          <cell r="F314">
            <v>10800</v>
          </cell>
        </row>
        <row r="315">
          <cell r="A315" t="str">
            <v>DS__-E_3-2-A_E</v>
          </cell>
          <cell r="B315" t="str">
            <v>66 kV 800 A  Single side break combined Disconnector and Earth Switch (Areva)</v>
          </cell>
          <cell r="C315" t="str">
            <v>DS__-E_3-2-A_E</v>
          </cell>
          <cell r="D315" t="str">
            <v>No</v>
          </cell>
          <cell r="E315">
            <v>20700</v>
          </cell>
          <cell r="F315">
            <v>15600</v>
          </cell>
        </row>
        <row r="316">
          <cell r="A316" t="str">
            <v>DS__-E_5-2-A</v>
          </cell>
          <cell r="B316" t="str">
            <v>66 kV  1600 A ground mounted (Upright) Disconnector (IDB/K)</v>
          </cell>
          <cell r="C316" t="str">
            <v>DS__-E_5-2-A</v>
          </cell>
          <cell r="D316" t="str">
            <v>No</v>
          </cell>
          <cell r="E316">
            <v>17000</v>
          </cell>
          <cell r="F316">
            <v>10000</v>
          </cell>
        </row>
        <row r="317">
          <cell r="A317" t="str">
            <v>DS__-E_6-2-A</v>
          </cell>
          <cell r="B317" t="str">
            <v>66 kV  2000 A ground mounted (Upright) Disconnector (IDB/K)</v>
          </cell>
          <cell r="C317" t="str">
            <v>DS__-E_6-2-A</v>
          </cell>
          <cell r="D317" t="str">
            <v>No</v>
          </cell>
          <cell r="E317">
            <v>18000</v>
          </cell>
          <cell r="F317">
            <v>10000</v>
          </cell>
        </row>
        <row r="318">
          <cell r="A318" t="str">
            <v>DS__-E_3-2-A</v>
          </cell>
          <cell r="B318" t="str">
            <v>66 kV 800 A  Disconnector - Single side break</v>
          </cell>
          <cell r="C318" t="str">
            <v>DS__-E_3-2-A</v>
          </cell>
          <cell r="D318" t="str">
            <v>No</v>
          </cell>
          <cell r="E318">
            <v>13200</v>
          </cell>
          <cell r="F318">
            <v>9200</v>
          </cell>
        </row>
        <row r="319">
          <cell r="A319" t="str">
            <v>ES__-E__-1-A</v>
          </cell>
          <cell r="B319" t="str">
            <v>66 kV Earth Switch (Areva)</v>
          </cell>
          <cell r="C319" t="str">
            <v>ES__-E__-1-A</v>
          </cell>
          <cell r="D319" t="str">
            <v>No</v>
          </cell>
          <cell r="E319">
            <v>11800</v>
          </cell>
          <cell r="F319">
            <v>9000</v>
          </cell>
        </row>
        <row r="320">
          <cell r="A320" t="str">
            <v>FIL-E__-___--</v>
          </cell>
          <cell r="B320" t="str">
            <v>Filter banks</v>
          </cell>
          <cell r="C320" t="str">
            <v>FIL-E__-___--</v>
          </cell>
          <cell r="D320" t="str">
            <v>No</v>
          </cell>
          <cell r="E320">
            <v>0.1</v>
          </cell>
          <cell r="F320">
            <v>0.2</v>
          </cell>
        </row>
        <row r="321">
          <cell r="A321" t="str">
            <v>LT__-E__-1-T</v>
          </cell>
          <cell r="B321" t="str">
            <v>66 kV Line Traps 800 amp (Ex inventory - nil value)  supply of new tuning packs included in TP material price </v>
          </cell>
          <cell r="C321" t="str">
            <v>LT__-E__-1-T</v>
          </cell>
          <cell r="D321" t="str">
            <v>No</v>
          </cell>
          <cell r="E321">
            <v>5000</v>
          </cell>
          <cell r="F321">
            <v>8000</v>
          </cell>
        </row>
        <row r="322">
          <cell r="A322" t="str">
            <v>LT__-E__-1-T</v>
          </cell>
          <cell r="B322" t="str">
            <v>66 kV Line Traps 800 amp (Ex inventory - nil value)  supply of new tuning packs included in TP material price </v>
          </cell>
          <cell r="C322" t="str">
            <v>LT__-E__-1-T</v>
          </cell>
          <cell r="D322" t="str">
            <v>No</v>
          </cell>
          <cell r="E322">
            <v>5000</v>
          </cell>
          <cell r="F322">
            <v>8000</v>
          </cell>
        </row>
        <row r="323">
          <cell r="A323" t="str">
            <v>LT__-E__-1-T</v>
          </cell>
          <cell r="B323" t="str">
            <v>66 kV Line Traps 800 amp (Ex inventory - nil value)  supply of new tuning packs included in TP material price </v>
          </cell>
          <cell r="C323" t="str">
            <v>LT__-E__-1-T</v>
          </cell>
          <cell r="D323" t="str">
            <v>No</v>
          </cell>
          <cell r="E323">
            <v>5000</v>
          </cell>
          <cell r="F323">
            <v>8000</v>
          </cell>
        </row>
        <row r="324">
          <cell r="A324" t="str">
            <v>APS_-ELA_-1--</v>
          </cell>
          <cell r="B324" t="str">
            <v>Local Service Transformer  66kV /415V  100KVA</v>
          </cell>
          <cell r="C324" t="str">
            <v>APS_-ELA_-1--</v>
          </cell>
          <cell r="D324" t="str">
            <v>No</v>
          </cell>
          <cell r="E324">
            <v>27620</v>
          </cell>
          <cell r="F324">
            <v>7386.38</v>
          </cell>
        </row>
        <row r="325">
          <cell r="A325" t="str">
            <v>NCT_-E__-1-_P_A</v>
          </cell>
          <cell r="B325" t="str">
            <v>66 kV 1200 A Neutral Current Transformer 2 core  Class PX 25 kA </v>
          </cell>
          <cell r="C325" t="str">
            <v>NCT_-E__-1-_P_A</v>
          </cell>
          <cell r="D325" t="str">
            <v>No</v>
          </cell>
          <cell r="E325">
            <v>0.1</v>
          </cell>
          <cell r="F325">
            <v>0.2</v>
          </cell>
        </row>
        <row r="326">
          <cell r="A326" t="str">
            <v>RES_-E__-1-_38</v>
          </cell>
          <cell r="B326" t="str">
            <v>66  kV Neutral Earthing Resistors (NER)s 38 ohm includes foundations</v>
          </cell>
          <cell r="C326" t="str">
            <v>RES_-E__-1-_38</v>
          </cell>
          <cell r="D326" t="str">
            <v>No</v>
          </cell>
          <cell r="E326">
            <v>73500</v>
          </cell>
          <cell r="F326">
            <v>19400</v>
          </cell>
        </row>
        <row r="327">
          <cell r="B327" t="str">
            <v>66 kV (cont'd)</v>
          </cell>
        </row>
        <row r="328">
          <cell r="A328" t="str">
            <v>RES_-E__-2-_05</v>
          </cell>
          <cell r="B328" t="str">
            <v>66  kV Neutral Earthing Resistors (NER)s  5 ohm , 50A including  NCT and foundations</v>
          </cell>
          <cell r="C328" t="str">
            <v>RES_-E__-2-_05</v>
          </cell>
          <cell r="D328" t="str">
            <v>No</v>
          </cell>
          <cell r="E328">
            <v>60085</v>
          </cell>
          <cell r="F328">
            <v>19400</v>
          </cell>
        </row>
        <row r="329">
          <cell r="A329" t="str">
            <v>RES_-E__-2-_110</v>
          </cell>
          <cell r="B329" t="str">
            <v>66  kV Neutral Earthing Resistors (NER)s  110 Ohm , 15A including  NCT and foundations</v>
          </cell>
          <cell r="C329" t="str">
            <v>RES_-E__-2-_110</v>
          </cell>
          <cell r="D329" t="str">
            <v>No</v>
          </cell>
          <cell r="E329">
            <v>34000</v>
          </cell>
          <cell r="F329">
            <v>19400</v>
          </cell>
        </row>
        <row r="330">
          <cell r="A330" t="str">
            <v>REA_-E__-1-EA</v>
          </cell>
          <cell r="B330" t="str">
            <v>66 kV  2200MVAr, single phase, air insulated  reactor</v>
          </cell>
          <cell r="C330" t="str">
            <v>REA_-E__-1-EA</v>
          </cell>
          <cell r="D330" t="str">
            <v>No</v>
          </cell>
          <cell r="E330">
            <v>0.1</v>
          </cell>
          <cell r="F330">
            <v>0.2</v>
          </cell>
        </row>
        <row r="331">
          <cell r="A331" t="str">
            <v>SA__-E__-1-EA</v>
          </cell>
          <cell r="B331" t="str">
            <v>66 kV  Surge Arresters &amp; Surge Diverters (THREE phase set), 26.3 kA, 325 kV ABB EXLIM Q66-xH72 </v>
          </cell>
          <cell r="C331" t="str">
            <v>SA__-E__-1-EA</v>
          </cell>
          <cell r="D331" t="str">
            <v>Set</v>
          </cell>
          <cell r="E331">
            <v>5510</v>
          </cell>
          <cell r="F331">
            <v>10700</v>
          </cell>
        </row>
        <row r="332">
          <cell r="A332" t="str">
            <v>FDS_-E__-1-CBS</v>
          </cell>
          <cell r="B332" t="str">
            <v>Foundation work for 66 kV circuit breaker including stands</v>
          </cell>
          <cell r="C332" t="str">
            <v>FDS_-E__-1-CBS</v>
          </cell>
          <cell r="D332" t="str">
            <v>No</v>
          </cell>
          <cell r="E332">
            <v>5800</v>
          </cell>
          <cell r="F332">
            <v>10000</v>
          </cell>
        </row>
        <row r="333">
          <cell r="A333" t="str">
            <v>FDS_-E__-1-CB</v>
          </cell>
          <cell r="B333" t="str">
            <v>Foundation work for 66 kV circuit breaker EXCLUDING Stands</v>
          </cell>
          <cell r="C333" t="str">
            <v>FDS_-E__-1-CB</v>
          </cell>
          <cell r="D333" t="str">
            <v>No</v>
          </cell>
          <cell r="E333">
            <v>1800</v>
          </cell>
          <cell r="F333">
            <v>10000</v>
          </cell>
        </row>
        <row r="334">
          <cell r="A334" t="str">
            <v>FDS_-E__-2-BINC</v>
          </cell>
          <cell r="B334" t="str">
            <v>Foundations for 66 kV bus concrete post insulator support</v>
          </cell>
          <cell r="C334" t="str">
            <v>FDS_-E__-2-BINC</v>
          </cell>
          <cell r="D334" t="str">
            <v>No</v>
          </cell>
          <cell r="E334">
            <v>1850</v>
          </cell>
          <cell r="F334">
            <v>2600</v>
          </cell>
        </row>
        <row r="335">
          <cell r="A335" t="str">
            <v>FDS_-E__-2-BINS</v>
          </cell>
          <cell r="B335" t="str">
            <v>Foundations for 66 kV bus steel post insulator support</v>
          </cell>
          <cell r="C335" t="str">
            <v>FDS_-E__-2-BINS</v>
          </cell>
          <cell r="D335" t="str">
            <v>No</v>
          </cell>
          <cell r="E335">
            <v>1850</v>
          </cell>
          <cell r="F335">
            <v>2600</v>
          </cell>
        </row>
        <row r="336">
          <cell r="A336" t="str">
            <v>FDS_-E__-3-CT</v>
          </cell>
          <cell r="B336" t="str">
            <v>foundation for three phase set - CT  NCT's and VT's includes  stands</v>
          </cell>
          <cell r="C336" t="str">
            <v>FDS_-E__-3-CT</v>
          </cell>
          <cell r="D336" t="str">
            <v>Set</v>
          </cell>
          <cell r="E336">
            <v>1400</v>
          </cell>
          <cell r="F336">
            <v>6100</v>
          </cell>
        </row>
        <row r="337">
          <cell r="A337" t="str">
            <v>FDS_-E__-4-DIS</v>
          </cell>
          <cell r="B337" t="str">
            <v>Foundations for 66 kV  Disconnector -includes stands</v>
          </cell>
          <cell r="C337" t="str">
            <v>FDS_-E__-4-DIS</v>
          </cell>
          <cell r="D337" t="str">
            <v>No</v>
          </cell>
          <cell r="E337">
            <v>3000</v>
          </cell>
          <cell r="F337">
            <v>8600</v>
          </cell>
        </row>
        <row r="338">
          <cell r="A338" t="str">
            <v>FDS_-E__-5-LT</v>
          </cell>
          <cell r="B338" t="str">
            <v>foundation for line traps</v>
          </cell>
          <cell r="C338" t="str">
            <v>FDS_-E__-5-LT</v>
          </cell>
          <cell r="D338" t="str">
            <v>No</v>
          </cell>
          <cell r="E338">
            <v>0</v>
          </cell>
          <cell r="F338">
            <v>5000</v>
          </cell>
        </row>
        <row r="339">
          <cell r="A339" t="str">
            <v>FDS_-E__-6-B_T</v>
          </cell>
          <cell r="B339" t="str">
            <v>Foundations for 66 kV bus steel "T"  tower </v>
          </cell>
          <cell r="C339" t="str">
            <v>FDS_-E__-6-B_T</v>
          </cell>
          <cell r="D339" t="str">
            <v>No</v>
          </cell>
          <cell r="E339">
            <v>0.1</v>
          </cell>
          <cell r="F339">
            <v>0.2</v>
          </cell>
        </row>
        <row r="340">
          <cell r="A340" t="str">
            <v>FDS_-E__-7-BST</v>
          </cell>
          <cell r="B340" t="str">
            <v>Foundations for 66 kV bus steel tower</v>
          </cell>
          <cell r="C340" t="str">
            <v>FDS_-E__-7-BST</v>
          </cell>
          <cell r="D340" t="str">
            <v>No</v>
          </cell>
          <cell r="E340">
            <v>0.1</v>
          </cell>
          <cell r="F340">
            <v>0.2</v>
          </cell>
        </row>
        <row r="341">
          <cell r="A341" t="str">
            <v>FNDT-E__-8-</v>
          </cell>
          <cell r="B341" t="str">
            <v>66 kV tower foundations for concrete pole</v>
          </cell>
          <cell r="C341" t="str">
            <v>FNDT-E__-8-</v>
          </cell>
          <cell r="D341" t="str">
            <v>twr</v>
          </cell>
          <cell r="E341">
            <v>0.1</v>
          </cell>
          <cell r="F341">
            <v>0.2</v>
          </cell>
        </row>
        <row r="342">
          <cell r="A342" t="str">
            <v>TWR_-E__-1-155</v>
          </cell>
          <cell r="B342" t="str">
            <v>66 kV concrete pole ( 15.5m high)</v>
          </cell>
          <cell r="C342" t="str">
            <v>TWR_-E__-1-155</v>
          </cell>
          <cell r="D342" t="str">
            <v>twr</v>
          </cell>
          <cell r="E342">
            <v>0.1</v>
          </cell>
          <cell r="F342">
            <v>0.2</v>
          </cell>
        </row>
        <row r="343">
          <cell r="A343" t="str">
            <v>T_TW-E__-2-155</v>
          </cell>
          <cell r="B343" t="str">
            <v>66 kV Steel tower 15.5 metres high  (average weight tonnes per tower)</v>
          </cell>
          <cell r="C343" t="str">
            <v>T_TW-E__-2-155</v>
          </cell>
          <cell r="D343" t="str">
            <v>twr</v>
          </cell>
          <cell r="E343">
            <v>0.1</v>
          </cell>
          <cell r="F343">
            <v>0.2</v>
          </cell>
        </row>
        <row r="344">
          <cell r="A344" t="str">
            <v>VT__-E__-1-AM__</v>
          </cell>
          <cell r="B344" t="str">
            <v>66  kV Voltage Transformer SINGLE phase unit  Class 0.2/3P 30VA excludes foundations (Arteche)</v>
          </cell>
          <cell r="C344" t="str">
            <v>VT__-E__-1-AM__</v>
          </cell>
          <cell r="D344" t="str">
            <v>Unit</v>
          </cell>
          <cell r="E344">
            <v>4800</v>
          </cell>
          <cell r="F344">
            <v>6500</v>
          </cell>
        </row>
        <row r="345">
          <cell r="A345" t="str">
            <v>VT__-E__-3-TM__</v>
          </cell>
          <cell r="B345" t="str">
            <v>66  kV Voltage Transformer THREE phase unit 66.000:V3/110:V3 V Class 0.2/3P 100VA (Trench)
</v>
          </cell>
          <cell r="C345" t="str">
            <v>VT__-E__-3-TM__</v>
          </cell>
          <cell r="D345" t="str">
            <v>Set</v>
          </cell>
          <cell r="E345">
            <v>6900</v>
          </cell>
          <cell r="F345">
            <v>18400</v>
          </cell>
        </row>
        <row r="346">
          <cell r="A346" t="str">
            <v>VT__-E__-3-AM__</v>
          </cell>
          <cell r="B346" t="str">
            <v>66  kV Voltage Transformer THREEE phase unit  Class 0.2/3P 30VA excludes foundations (Arteche)</v>
          </cell>
          <cell r="C346" t="str">
            <v>VT__-E__-3-AM__</v>
          </cell>
          <cell r="D346" t="str">
            <v>Set</v>
          </cell>
          <cell r="E346">
            <v>4800</v>
          </cell>
          <cell r="F346">
            <v>6500</v>
          </cell>
        </row>
        <row r="347">
          <cell r="A347" t="str">
            <v>VT__-E__-1-TM__</v>
          </cell>
          <cell r="B347" t="str">
            <v>66  kV Voltage Transformer SINGLE phase unit 66.000:V3/110:V3 V Class 0.2/3P 100VA (Trench)
</v>
          </cell>
          <cell r="C347" t="str">
            <v>VT__-E__-1-TM__</v>
          </cell>
          <cell r="D347" t="str">
            <v>Unit</v>
          </cell>
          <cell r="E347">
            <v>6900</v>
          </cell>
          <cell r="F347">
            <v>18400</v>
          </cell>
        </row>
        <row r="349">
          <cell r="A349" t="str">
            <v>110kV</v>
          </cell>
          <cell r="B349" t="str">
            <v>110kV</v>
          </cell>
        </row>
        <row r="350">
          <cell r="A350" t="str">
            <v>NOT-USED-110--</v>
          </cell>
          <cell r="B350" t="str">
            <v>Blank Code Used as place filler</v>
          </cell>
          <cell r="C350" t="str">
            <v>NOT-USED-110--</v>
          </cell>
          <cell r="D350" t="str">
            <v>No</v>
          </cell>
          <cell r="E350">
            <v>0</v>
          </cell>
          <cell r="F350">
            <v>0</v>
          </cell>
        </row>
        <row r="351">
          <cell r="A351" t="str">
            <v>BUS-F__-1-A</v>
          </cell>
          <cell r="B351" t="str">
            <v>110 kV Rigid Bus 50mm dia alloy bus bay length 10.8m, steel insulator posts 3.1m high, 110kV insulators, twin butterfly flexible and fittings at one end</v>
          </cell>
          <cell r="C351" t="str">
            <v>BUS-F__-1-A</v>
          </cell>
          <cell r="D351" t="str">
            <v>Bay</v>
          </cell>
          <cell r="E351">
            <v>14700</v>
          </cell>
          <cell r="F351">
            <v>26900</v>
          </cell>
        </row>
        <row r="352">
          <cell r="A352" t="str">
            <v>BUS-F__-2-C</v>
          </cell>
          <cell r="B352" t="str">
            <v>110 kV Strung (Flexible)  Bus consisting of bus termination each end, three Cicada conductor and insulators</v>
          </cell>
          <cell r="C352" t="str">
            <v>BUS-F__-2-C</v>
          </cell>
          <cell r="D352" t="str">
            <v>Bus</v>
          </cell>
          <cell r="E352">
            <v>0.1</v>
          </cell>
          <cell r="F352">
            <v>0.2</v>
          </cell>
        </row>
        <row r="353">
          <cell r="A353" t="str">
            <v>BUS-F__-4-S</v>
          </cell>
          <cell r="B353" t="str">
            <v>110 kV steel "T" tower structure ( includes single steel upright, cross beam and insulators)</v>
          </cell>
          <cell r="C353" t="str">
            <v>BUS-F__-4-S</v>
          </cell>
          <cell r="D353" t="str">
            <v>No</v>
          </cell>
          <cell r="E353">
            <v>0.1</v>
          </cell>
          <cell r="F353">
            <v>0.2</v>
          </cell>
        </row>
        <row r="354">
          <cell r="A354" t="str">
            <v>CAPS-F__--0</v>
          </cell>
          <cell r="B354" t="str">
            <v>Capacitor banks</v>
          </cell>
          <cell r="C354" t="str">
            <v>CAPS-F__--0</v>
          </cell>
          <cell r="D354" t="str">
            <v>No</v>
          </cell>
          <cell r="E354">
            <v>0.1</v>
          </cell>
          <cell r="F354">
            <v>0.2</v>
          </cell>
        </row>
        <row r="355">
          <cell r="A355" t="str">
            <v>CB__-F_5-2-AGOS</v>
          </cell>
          <cell r="B355" t="str">
            <v>110 kV 2500 Amp Circuit Breaker, Gas Insulated  Outdoor,dead tank, stand and connections to equipment either side ( Areva DTI-145)</v>
          </cell>
          <cell r="C355" t="str">
            <v>CB__-F_5-2-AGOS</v>
          </cell>
          <cell r="D355" t="str">
            <v>No</v>
          </cell>
          <cell r="E355">
            <v>109400</v>
          </cell>
          <cell r="F355">
            <v>16700</v>
          </cell>
        </row>
        <row r="356">
          <cell r="A356" t="str">
            <v>CB__-F_8-2-SGOS</v>
          </cell>
          <cell r="B356" t="str">
            <v>110 kV 3150 Amp Circuit Breaker, Gas Insulated  Outdoor,dead tank, stand and connections to equipment either side ( Seimens 3AP1-GF-145)</v>
          </cell>
          <cell r="C356" t="str">
            <v>CB__-F_8-2-SGOS</v>
          </cell>
          <cell r="D356" t="str">
            <v>No</v>
          </cell>
          <cell r="E356">
            <v>60100</v>
          </cell>
          <cell r="F356">
            <v>16600</v>
          </cell>
        </row>
        <row r="357">
          <cell r="A357" t="str">
            <v>CB__-F_6-1-AGOS</v>
          </cell>
          <cell r="B357" t="str">
            <v>110 kV 3150 Amp Circuit Breaker (Areva), Gas Insulated,   Outdoor, Live tank,  stand and connections to equipment either side (Areva GL312)</v>
          </cell>
          <cell r="C357" t="str">
            <v>CB__-F_6-1-AGOS</v>
          </cell>
          <cell r="D357" t="str">
            <v>No</v>
          </cell>
          <cell r="E357">
            <v>46100</v>
          </cell>
          <cell r="F357">
            <v>14800</v>
          </cell>
        </row>
        <row r="358">
          <cell r="A358" t="str">
            <v>CB__-F_73-3-BGOS</v>
          </cell>
          <cell r="B358" t="str">
            <v>110 kV 2500 Amp, Circuit Breaker, ( ABB LTB 145D1/B Low Noise) Gas Insulated,POW relay Outdoor, Live Tank for single pole operation with MD150 and three pillar support, and connections to equipment either side</v>
          </cell>
          <cell r="C358" t="str">
            <v>CB__-F_73-3-BGOS</v>
          </cell>
          <cell r="D358" t="str">
            <v>No</v>
          </cell>
          <cell r="E358">
            <v>107900</v>
          </cell>
          <cell r="F358">
            <v>22400</v>
          </cell>
        </row>
        <row r="359">
          <cell r="A359" t="str">
            <v>CB__-F_74-3-BGOS</v>
          </cell>
          <cell r="B359" t="str">
            <v>110 kV 2500 Amp, Circuit Breaker, ( ABB LTB 145D Gas Insulated, Outdoor, Live Tank for single pole operation with MD150 and three pillar support, and connections to equipment either side</v>
          </cell>
          <cell r="C359" t="str">
            <v>CB__-F_74-3-BGOS</v>
          </cell>
          <cell r="D359" t="str">
            <v>No</v>
          </cell>
          <cell r="E359">
            <v>58300</v>
          </cell>
          <cell r="F359">
            <v>16900</v>
          </cell>
        </row>
        <row r="360">
          <cell r="A360" t="str">
            <v>CBL_-F__-2-C6_1</v>
          </cell>
          <cell r="B360" t="str">
            <v>110 kV cables  single core 630 mm2 copper XLPE  in cable ducts or trenches (see CWKS for Ducts)</v>
          </cell>
          <cell r="C360" t="str">
            <v>CBL_-F__-2-C6_1</v>
          </cell>
          <cell r="D360" t="str">
            <v>m </v>
          </cell>
          <cell r="E360">
            <v>109</v>
          </cell>
          <cell r="F360">
            <v>71</v>
          </cell>
        </row>
        <row r="361">
          <cell r="A361" t="str">
            <v>CBL_-F__-3-C6RI</v>
          </cell>
          <cell r="B361" t="str">
            <v>110 kV RayChem indoor cable  terminations  to  630 mm2 copper XLPE cable </v>
          </cell>
          <cell r="C361" t="str">
            <v>CBL_-F__-3-C6RI</v>
          </cell>
          <cell r="D361" t="str">
            <v>No</v>
          </cell>
          <cell r="E361">
            <v>10600.0975</v>
          </cell>
          <cell r="F361">
            <v>7650</v>
          </cell>
        </row>
        <row r="362">
          <cell r="A362" t="str">
            <v>CT__-F_4-3-A__A</v>
          </cell>
          <cell r="B362" t="str">
            <v>110 kV Current Transformer SINGLE phase unit 1200 A 25KA, 5 core (Arteche CH-123) Class PX</v>
          </cell>
          <cell r="C362" t="str">
            <v>CT__-F_4-3-A__A</v>
          </cell>
          <cell r="D362" t="str">
            <v>Unit</v>
          </cell>
          <cell r="E362">
            <v>12200</v>
          </cell>
          <cell r="F362">
            <v>6400</v>
          </cell>
        </row>
        <row r="363">
          <cell r="A363" t="str">
            <v>CT__-F_4-4-A__A</v>
          </cell>
          <cell r="B363" t="str">
            <v>110 kV Current Transformer Three phase unit 1200 A 25KA, 5 core (Arteche CH-123) Class PX</v>
          </cell>
          <cell r="C363" t="str">
            <v>CT__-F_4-4-A__A</v>
          </cell>
          <cell r="D363" t="str">
            <v>3 ph Set</v>
          </cell>
          <cell r="E363">
            <v>35400</v>
          </cell>
          <cell r="F363">
            <v>18300</v>
          </cell>
        </row>
        <row r="364">
          <cell r="A364" t="str">
            <v>CT__-F_4-3-B__A</v>
          </cell>
          <cell r="B364" t="str">
            <v>110 kV Current Transformer SINGLE phase unit 1200 A 25KA, 5 core (ABB IMB 123 A5) Class PX</v>
          </cell>
          <cell r="C364" t="str">
            <v>CT__-F_4-3-B__A</v>
          </cell>
          <cell r="D364" t="str">
            <v>Unit</v>
          </cell>
          <cell r="E364">
            <v>13900</v>
          </cell>
          <cell r="F364">
            <v>7200</v>
          </cell>
        </row>
        <row r="365">
          <cell r="A365" t="str">
            <v>CT__-F_4-4-B__A</v>
          </cell>
          <cell r="B365" t="str">
            <v>110 kV Current Transformer THREE phase unit 1200 A 25KA, 5 core ((ABB IMB 123 A5) ) Class PX</v>
          </cell>
          <cell r="C365" t="str">
            <v>CT__-F_4-4-B__A</v>
          </cell>
          <cell r="D365" t="str">
            <v>3 ph Set</v>
          </cell>
          <cell r="E365">
            <v>40600</v>
          </cell>
          <cell r="F365">
            <v>18600</v>
          </cell>
        </row>
        <row r="366">
          <cell r="A366" t="str">
            <v>CT__-F_4-3-N__A</v>
          </cell>
          <cell r="B366" t="str">
            <v>110 kV Current Transformer SINGLE phase unit 2000 A 25KA 5 core (Nissin FGCH-100),Class PX</v>
          </cell>
          <cell r="C366" t="str">
            <v>CT__-F_4-3-N__A</v>
          </cell>
          <cell r="D366" t="str">
            <v>Unit</v>
          </cell>
          <cell r="E366">
            <v>16500</v>
          </cell>
          <cell r="F366">
            <v>6600</v>
          </cell>
        </row>
        <row r="367">
          <cell r="A367" t="str">
            <v>CT__-F_4-4-N__A</v>
          </cell>
          <cell r="B367" t="str">
            <v>110 kV Current Transformer THREE phase unit 2000 A 25KA, 5 core, (Nissin FGCH-100)), Class PX</v>
          </cell>
          <cell r="C367" t="str">
            <v>CT__-F_4-4-N__A</v>
          </cell>
          <cell r="D367" t="str">
            <v>3 ph Set</v>
          </cell>
          <cell r="E367">
            <v>45200</v>
          </cell>
          <cell r="F367">
            <v>18800</v>
          </cell>
        </row>
        <row r="368">
          <cell r="A368" t="str">
            <v>DS/ES-HAP-110-1250-DUHDSB</v>
          </cell>
          <cell r="B368" t="str">
            <v>110 KV DIS and ES HAPAM 1250A double break centre rotating - double underhung c/w insulators (18) (Model SSBIII-AM-123) and connection to equipment / line at one side</v>
          </cell>
          <cell r="C368" t="str">
            <v>DS/ES-HAP-110-1250-DUHDSB</v>
          </cell>
          <cell r="D368" t="str">
            <v>No</v>
          </cell>
          <cell r="E368">
            <v>34700</v>
          </cell>
          <cell r="F368">
            <v>6300</v>
          </cell>
        </row>
        <row r="369">
          <cell r="A369" t="str">
            <v>DS/ES-HAP-110-1250-UHDSB</v>
          </cell>
          <cell r="B369" t="str">
            <v>110 KV DIS and ES HAPAM 1250A double break centre rotating -  underhung c/w insulators (9) (Model SSBIII-AM-123) and connection to equipment / line at one side</v>
          </cell>
          <cell r="C369" t="str">
            <v>DS/ES-HAP-110-1250-UHDSB</v>
          </cell>
          <cell r="D369" t="str">
            <v>No</v>
          </cell>
          <cell r="E369">
            <v>20700</v>
          </cell>
          <cell r="F369">
            <v>6300</v>
          </cell>
        </row>
        <row r="370">
          <cell r="B370" t="e">
            <v>#N/A</v>
          </cell>
          <cell r="C370">
            <v>0</v>
          </cell>
          <cell r="D370" t="e">
            <v>#N/A</v>
          </cell>
          <cell r="E370" t="e">
            <v>#N/A</v>
          </cell>
          <cell r="F370" t="e">
            <v>#N/A</v>
          </cell>
        </row>
        <row r="371">
          <cell r="A371" t="str">
            <v>DS-HAP-110-3150-UHDSB</v>
          </cell>
          <cell r="B371" t="str">
            <v>110 KV DIS Hapam 3150A double break centre rotating - underhung c/w insulators (9) (Model type SSBIII-123) and connection to equipment / line at one side</v>
          </cell>
          <cell r="C371" t="str">
            <v>DS-HAP-110-3150-UHDSB</v>
          </cell>
          <cell r="D371" t="str">
            <v>no</v>
          </cell>
          <cell r="E371">
            <v>15900</v>
          </cell>
          <cell r="F371">
            <v>5300</v>
          </cell>
        </row>
        <row r="372">
          <cell r="A372" t="str">
            <v>DS-HAP-110-3150-VDSB</v>
          </cell>
          <cell r="B372" t="str">
            <v>110 KV DIS Hapam 3150A double break centre rotating - c/w insulators (9) and stands (model type SSBIII-123) and connection to equipment / line at one side</v>
          </cell>
          <cell r="C372" t="str">
            <v>DS-HAP-110-3150-VDSB</v>
          </cell>
          <cell r="D372" t="str">
            <v>no</v>
          </cell>
          <cell r="E372">
            <v>19600</v>
          </cell>
          <cell r="F372">
            <v>4200</v>
          </cell>
        </row>
        <row r="373">
          <cell r="A373" t="str">
            <v>DS-HAP-110-1250-SUHC</v>
          </cell>
          <cell r="B373" t="str">
            <v>110 kV DIS Hapam 1250 A  double break centre rotating -   underhung c/w insulators (9) (model type SSBIII-123) and connection to equipment / line one side.</v>
          </cell>
          <cell r="C373" t="str">
            <v>DS-HAP-110-1250-SUHC</v>
          </cell>
          <cell r="D373" t="str">
            <v>no</v>
          </cell>
          <cell r="E373">
            <v>16300</v>
          </cell>
          <cell r="F373">
            <v>4200</v>
          </cell>
        </row>
        <row r="374">
          <cell r="A374" t="str">
            <v>DS-HAP-110-2000-DSB</v>
          </cell>
          <cell r="B374" t="str">
            <v>110 kV 2000 A    double under hung horizontal double break,  Disconnector   Hapam (SSBIII-123) includes  insulators</v>
          </cell>
          <cell r="C374" t="str">
            <v>DS-HAP-110-2000-DSB</v>
          </cell>
          <cell r="D374" t="str">
            <v>No</v>
          </cell>
          <cell r="E374">
            <v>14940</v>
          </cell>
          <cell r="F374">
            <v>5300</v>
          </cell>
        </row>
        <row r="375">
          <cell r="A375" t="str">
            <v>DS-HAP-110-1250-DSB</v>
          </cell>
          <cell r="B375" t="str">
            <v>110 kV 1250 A  horizontal  double side  break,  Disconnector   Hapam (SSBIII-123) includes stands and insulators</v>
          </cell>
          <cell r="C375" t="str">
            <v>DS-HAP-110-1250-DSB</v>
          </cell>
          <cell r="D375" t="str">
            <v>No</v>
          </cell>
          <cell r="E375">
            <v>14940</v>
          </cell>
          <cell r="F375">
            <v>4200</v>
          </cell>
        </row>
        <row r="376">
          <cell r="A376" t="str">
            <v>DS-HAP-110-1250-SUHC</v>
          </cell>
          <cell r="B376" t="str">
            <v>110 kV DIS Hapam 1250 A  double break centre rotating -   underhung c/w insulators (9) (model type SSBIII-123) and connection to equipment / line one side.</v>
          </cell>
          <cell r="C376" t="str">
            <v>DS-HAP-110-1250-SUHC</v>
          </cell>
          <cell r="D376" t="str">
            <v>no</v>
          </cell>
          <cell r="E376">
            <v>16300</v>
          </cell>
          <cell r="F376">
            <v>4200</v>
          </cell>
        </row>
        <row r="377">
          <cell r="A377" t="str">
            <v>ES-HAP-110-</v>
          </cell>
          <cell r="B377" t="str">
            <v>110 kV ES Hapam  (model typeASB-123) and connection to equipment / line one side.</v>
          </cell>
          <cell r="C377" t="str">
            <v>ES-HAP-110-</v>
          </cell>
          <cell r="D377" t="str">
            <v>no</v>
          </cell>
          <cell r="E377">
            <v>8200</v>
          </cell>
          <cell r="F377">
            <v>4000</v>
          </cell>
        </row>
        <row r="378">
          <cell r="A378" t="str">
            <v>DS__-F_5-2-A__A</v>
          </cell>
          <cell r="B378" t="str">
            <v>110 kV  1600 A ground mounted (Upright) Disconnector (IDB/K) compete with stands</v>
          </cell>
          <cell r="C378" t="str">
            <v>DS__-F_5-2-A__A</v>
          </cell>
          <cell r="D378" t="str">
            <v>No</v>
          </cell>
          <cell r="E378">
            <v>30000</v>
          </cell>
          <cell r="F378">
            <v>10000</v>
          </cell>
        </row>
        <row r="379">
          <cell r="A379" t="str">
            <v>DS__-F_8-2-A___</v>
          </cell>
          <cell r="B379" t="str">
            <v>110 kV 800 A  Disconnector - Single side break (ISB/P) complete with  insulators.</v>
          </cell>
          <cell r="C379" t="str">
            <v>DS__-F_8-2-A___</v>
          </cell>
          <cell r="D379" t="str">
            <v>No</v>
          </cell>
          <cell r="E379">
            <v>18400</v>
          </cell>
          <cell r="F379">
            <v>10000</v>
          </cell>
        </row>
        <row r="380">
          <cell r="A380" t="str">
            <v>DS__-F_8-2-A___</v>
          </cell>
          <cell r="B380" t="str">
            <v>110 kV 800 A  Disconnector - Single side break (ISB/P) complete with  insulators.</v>
          </cell>
          <cell r="C380" t="str">
            <v>DS__-F_8-2-A___</v>
          </cell>
          <cell r="D380" t="str">
            <v>No</v>
          </cell>
          <cell r="E380">
            <v>18400</v>
          </cell>
          <cell r="F380">
            <v>10000</v>
          </cell>
        </row>
        <row r="381">
          <cell r="A381" t="str">
            <v>DS__-F_8-2-A__A</v>
          </cell>
          <cell r="B381" t="str">
            <v>110 kV  3150 A ground mounted (Upright) Disconnector 40 kA (IDB/K)</v>
          </cell>
          <cell r="C381" t="str">
            <v>DS__-F_8-2-A__A</v>
          </cell>
          <cell r="D381" t="str">
            <v>No</v>
          </cell>
          <cell r="E381">
            <v>31200</v>
          </cell>
          <cell r="F381">
            <v>10000</v>
          </cell>
        </row>
        <row r="382">
          <cell r="A382" t="str">
            <v>DS__-F_8-3-A___</v>
          </cell>
          <cell r="B382" t="str">
            <v>110 kV 3150 A Underhung Disconnector</v>
          </cell>
          <cell r="C382" t="str">
            <v>DS__-F_8-3-A___</v>
          </cell>
          <cell r="D382" t="str">
            <v>No</v>
          </cell>
          <cell r="E382">
            <v>0.1</v>
          </cell>
          <cell r="F382">
            <v>0.2</v>
          </cell>
        </row>
        <row r="383">
          <cell r="A383" t="str">
            <v>DS__-F_8-4-AM__</v>
          </cell>
          <cell r="B383" t="str">
            <v>110 kV 3150A pantograph Disconnector motorised operation (Areva)</v>
          </cell>
          <cell r="C383" t="str">
            <v>DS__-F_8-4-AM__</v>
          </cell>
          <cell r="D383" t="str">
            <v>No</v>
          </cell>
          <cell r="E383">
            <v>0.1</v>
          </cell>
          <cell r="F383">
            <v>0.2</v>
          </cell>
        </row>
        <row r="384">
          <cell r="A384" t="str">
            <v>ES__-F_4-1-A___</v>
          </cell>
          <cell r="B384" t="str">
            <v>110 kV  1250 A Earth Switch under hung, 26.3kA, (EVR/B )</v>
          </cell>
          <cell r="C384" t="str">
            <v>ES__-F_4-1-A___</v>
          </cell>
          <cell r="D384" t="str">
            <v>No</v>
          </cell>
          <cell r="E384">
            <v>18150</v>
          </cell>
          <cell r="F384">
            <v>7000</v>
          </cell>
        </row>
        <row r="385">
          <cell r="A385" t="str">
            <v>FDS_-F__-1-CB</v>
          </cell>
          <cell r="B385" t="str">
            <v>Foundation work for 110 kV circuit breaker EXCLUDING Stands</v>
          </cell>
          <cell r="C385" t="str">
            <v>FDS_-F__-1-CB</v>
          </cell>
          <cell r="D385" t="str">
            <v>No</v>
          </cell>
          <cell r="E385">
            <v>0.1</v>
          </cell>
          <cell r="F385">
            <v>16000</v>
          </cell>
        </row>
        <row r="386">
          <cell r="A386" t="str">
            <v>FDS_-F__-1-CB</v>
          </cell>
          <cell r="B386" t="str">
            <v>Foundation work for 110 kV circuit breaker EXCLUDING Stands</v>
          </cell>
          <cell r="C386" t="str">
            <v>FDS_-F__-1-CB</v>
          </cell>
          <cell r="D386" t="str">
            <v>No</v>
          </cell>
          <cell r="E386">
            <v>0.1</v>
          </cell>
          <cell r="F386">
            <v>16000</v>
          </cell>
        </row>
        <row r="387">
          <cell r="A387" t="str">
            <v>FDS_-F__-2-CB</v>
          </cell>
          <cell r="B387" t="str">
            <v>Foundation work for 110 kV circuit breaker INCLUDING Stands</v>
          </cell>
          <cell r="C387" t="str">
            <v>FDS_-F__-2-CB</v>
          </cell>
          <cell r="D387" t="str">
            <v>No</v>
          </cell>
          <cell r="E387">
            <v>5500</v>
          </cell>
          <cell r="F387">
            <v>18000</v>
          </cell>
        </row>
        <row r="388">
          <cell r="A388" t="str">
            <v>FDS_-F__-2-BINC</v>
          </cell>
          <cell r="B388" t="str">
            <v>Foundations for 110 kV bus concrete post insulator support</v>
          </cell>
          <cell r="C388" t="str">
            <v>FDS_-F__-2-BINC</v>
          </cell>
          <cell r="D388" t="str">
            <v>No</v>
          </cell>
          <cell r="E388">
            <v>1850</v>
          </cell>
          <cell r="F388">
            <v>2600</v>
          </cell>
        </row>
        <row r="389">
          <cell r="A389" t="str">
            <v>FDS_-F__-2-BINS</v>
          </cell>
          <cell r="B389" t="str">
            <v>Foundations for 110 kV bus steel post insulator support</v>
          </cell>
          <cell r="C389" t="str">
            <v>FDS_-F__-2-BINS</v>
          </cell>
          <cell r="D389" t="str">
            <v>No</v>
          </cell>
          <cell r="E389">
            <v>1850</v>
          </cell>
          <cell r="F389">
            <v>2600</v>
          </cell>
        </row>
        <row r="390">
          <cell r="A390" t="str">
            <v>FDS_-F__-3-CT</v>
          </cell>
          <cell r="B390" t="str">
            <v>foundation for three phase set - CT  INCLUDES  stands</v>
          </cell>
          <cell r="C390" t="str">
            <v>FDS_-F__-3-CT</v>
          </cell>
          <cell r="D390" t="str">
            <v>3 ph Set</v>
          </cell>
          <cell r="E390">
            <v>1400</v>
          </cell>
          <cell r="F390">
            <v>6100</v>
          </cell>
        </row>
        <row r="391">
          <cell r="A391" t="str">
            <v>FDS_-F__-3-VT</v>
          </cell>
          <cell r="B391" t="str">
            <v>foundation for three phase set - VT's  INCLUDES  stands</v>
          </cell>
          <cell r="C391" t="str">
            <v>FDS_-F__-3-VT</v>
          </cell>
          <cell r="D391" t="str">
            <v>3 ph Set</v>
          </cell>
          <cell r="E391">
            <v>1400</v>
          </cell>
          <cell r="F391">
            <v>6100</v>
          </cell>
        </row>
        <row r="392">
          <cell r="A392" t="str">
            <v>FDS_-F__-3-NCT</v>
          </cell>
          <cell r="B392" t="str">
            <v>foundation for three phase set - NCT's iINCLUDES  stands</v>
          </cell>
          <cell r="C392" t="str">
            <v>FDS_-F__-3-NCT</v>
          </cell>
          <cell r="D392" t="str">
            <v>No</v>
          </cell>
          <cell r="E392">
            <v>1400</v>
          </cell>
          <cell r="F392">
            <v>6100</v>
          </cell>
        </row>
        <row r="393">
          <cell r="A393" t="str">
            <v>FDS_-F__-4-DIS</v>
          </cell>
          <cell r="B393" t="str">
            <v>Foundations for 110 kV  Disconnector - INCLUDES stands</v>
          </cell>
          <cell r="C393" t="str">
            <v>FDS_-F__-4-DIS</v>
          </cell>
          <cell r="D393" t="str">
            <v>No</v>
          </cell>
          <cell r="E393">
            <v>3750</v>
          </cell>
          <cell r="F393">
            <v>8600</v>
          </cell>
        </row>
        <row r="394">
          <cell r="A394" t="str">
            <v>FDS_-F__-5-DIS</v>
          </cell>
          <cell r="B394" t="str">
            <v>Foundations for 110 kV  Disconnector -EXCLUDES stands</v>
          </cell>
          <cell r="C394" t="str">
            <v>FDS_-F__-5-DIS</v>
          </cell>
          <cell r="D394" t="str">
            <v>No</v>
          </cell>
          <cell r="E394">
            <v>3000</v>
          </cell>
          <cell r="F394">
            <v>8600</v>
          </cell>
        </row>
        <row r="395">
          <cell r="A395" t="str">
            <v>FDS_-F__-5-LT</v>
          </cell>
          <cell r="B395" t="str">
            <v>foundation for line traps</v>
          </cell>
          <cell r="C395" t="str">
            <v>FDS_-F__-5-LT</v>
          </cell>
          <cell r="D395" t="str">
            <v>No</v>
          </cell>
          <cell r="E395">
            <v>0</v>
          </cell>
          <cell r="F395">
            <v>5000</v>
          </cell>
        </row>
        <row r="396">
          <cell r="A396" t="str">
            <v>NCT_-F__-1-TP1A</v>
          </cell>
          <cell r="B396" t="str">
            <v>110 kV Neutral Current Transformer (NCT)  500/200/1 Class PX, 1A, 25kA, (TWS)</v>
          </cell>
          <cell r="C396" t="str">
            <v>NCT_-F__-1-TP1A</v>
          </cell>
          <cell r="D396" t="str">
            <v>No</v>
          </cell>
          <cell r="E396">
            <v>8955.69</v>
          </cell>
          <cell r="F396">
            <v>2897</v>
          </cell>
        </row>
        <row r="397">
          <cell r="A397" t="str">
            <v>SA__-F__-1-FB</v>
          </cell>
          <cell r="B397" t="str">
            <v>110 kV Surge Arresters (THREE phase set), 31.5kA,  550 kV ABB EXLIM Q120-xH123 (class 3)</v>
          </cell>
          <cell r="C397" t="str">
            <v>SA__-F__-1-FB</v>
          </cell>
          <cell r="D397" t="str">
            <v>3 ph Set</v>
          </cell>
          <cell r="E397">
            <v>6700</v>
          </cell>
          <cell r="F397">
            <v>8600</v>
          </cell>
        </row>
        <row r="398">
          <cell r="A398" t="str">
            <v>STR_-F__-4-_S</v>
          </cell>
          <cell r="B398" t="str">
            <v>110 kV Steel Gantry and girder 8.7m high 15m wide (girder approx 8.7m above gnd)consisting of 813mm OD poles (8m high), 457 OD upper section (5m high) and girder (Same as 220kV gantry)</v>
          </cell>
          <cell r="C398" t="str">
            <v>STR_-F__-4-_S</v>
          </cell>
          <cell r="D398" t="str">
            <v>No</v>
          </cell>
          <cell r="E398" t="e">
            <v>#REF!</v>
          </cell>
          <cell r="F398" t="e">
            <v>#REF!</v>
          </cell>
        </row>
        <row r="399">
          <cell r="A399" t="str">
            <v>STR_-F__-6-C</v>
          </cell>
          <cell r="B399" t="str">
            <v>110 kV Post insulator  including concrete support structure </v>
          </cell>
          <cell r="C399" t="str">
            <v>STR_-F__-6-C</v>
          </cell>
          <cell r="D399" t="str">
            <v>No</v>
          </cell>
          <cell r="E399">
            <v>1000</v>
          </cell>
          <cell r="F399">
            <v>5000</v>
          </cell>
        </row>
        <row r="400">
          <cell r="A400" t="str">
            <v>VT__-F__-1-AP__</v>
          </cell>
          <cell r="B400" t="str">
            <v>110 kV Voltage Transformer SiINGLE Phase single winding Class 3P (Arteche UTD123)</v>
          </cell>
          <cell r="C400" t="str">
            <v>VT__-F__-1-AP__</v>
          </cell>
          <cell r="D400" t="str">
            <v>Unit</v>
          </cell>
          <cell r="E400">
            <v>6850</v>
          </cell>
          <cell r="F400">
            <v>6500</v>
          </cell>
        </row>
        <row r="401">
          <cell r="A401" t="str">
            <v>VT__-F__-2-AP__</v>
          </cell>
          <cell r="B401" t="str">
            <v>110 kV Voltage Transformer THREE Phase single winding Class 3P (Arteche UTD123)</v>
          </cell>
          <cell r="C401" t="str">
            <v>VT__-F__-2-AP__</v>
          </cell>
          <cell r="D401" t="str">
            <v>3 ph Set</v>
          </cell>
          <cell r="E401">
            <v>20100</v>
          </cell>
          <cell r="F401">
            <v>31800</v>
          </cell>
        </row>
        <row r="403">
          <cell r="A403" t="str">
            <v>220 kV</v>
          </cell>
          <cell r="B403" t="str">
            <v>220 kV</v>
          </cell>
        </row>
        <row r="404">
          <cell r="A404" t="str">
            <v>NOT-USED-220--</v>
          </cell>
          <cell r="B404" t="str">
            <v>Blank Code Used as place filler</v>
          </cell>
          <cell r="C404" t="str">
            <v>NOT-USED-220--</v>
          </cell>
          <cell r="D404" t="str">
            <v>No</v>
          </cell>
          <cell r="E404">
            <v>0</v>
          </cell>
          <cell r="F404">
            <v>0</v>
          </cell>
        </row>
        <row r="405">
          <cell r="A405" t="str">
            <v>STR-G__-6-C</v>
          </cell>
          <cell r="B405" t="str">
            <v>220 kV Post  Insulator including concrete support structure for buswork</v>
          </cell>
          <cell r="C405" t="str">
            <v>STR-G__-6-C</v>
          </cell>
          <cell r="D405" t="str">
            <v>No</v>
          </cell>
          <cell r="E405">
            <v>0.1</v>
          </cell>
          <cell r="F405">
            <v>0.2</v>
          </cell>
        </row>
        <row r="406">
          <cell r="A406" t="str">
            <v>STR-G__-6-S</v>
          </cell>
          <cell r="B406" t="str">
            <v>220 kV Post  Insulator including steel support structure for buswork</v>
          </cell>
          <cell r="C406" t="str">
            <v>STR-G__-6-S</v>
          </cell>
          <cell r="D406" t="str">
            <v>No</v>
          </cell>
          <cell r="E406">
            <v>0.1</v>
          </cell>
          <cell r="F406">
            <v>0.2</v>
          </cell>
        </row>
        <row r="407">
          <cell r="A407" t="str">
            <v>PO__-G__-2-C175</v>
          </cell>
          <cell r="B407" t="str">
            <v>220 kV concrete pole 17.5 metres high</v>
          </cell>
          <cell r="C407" t="str">
            <v>PO__-G__-2-C175</v>
          </cell>
          <cell r="D407" t="str">
            <v>No</v>
          </cell>
          <cell r="E407">
            <v>0.1</v>
          </cell>
          <cell r="F407">
            <v>0.2</v>
          </cell>
        </row>
        <row r="408">
          <cell r="A408" t="str">
            <v>BUS-G__-1-</v>
          </cell>
          <cell r="B408" t="str">
            <v>220 kV Rigid Bus (from ODV)</v>
          </cell>
          <cell r="C408" t="str">
            <v>BUS-G__-1-</v>
          </cell>
          <cell r="D408" t="str">
            <v>Bay</v>
          </cell>
          <cell r="E408">
            <v>30300</v>
          </cell>
          <cell r="F408">
            <v>21600</v>
          </cell>
        </row>
        <row r="409">
          <cell r="A409" t="str">
            <v>STR_-G__-3-GA07</v>
          </cell>
          <cell r="B409" t="str">
            <v>220 kV Aluminium Gantry Girder 7 metres wide</v>
          </cell>
          <cell r="C409" t="str">
            <v>STR_-G__-3-GA07</v>
          </cell>
          <cell r="D409" t="str">
            <v>No</v>
          </cell>
          <cell r="E409">
            <v>0.1</v>
          </cell>
          <cell r="F409">
            <v>0.2</v>
          </cell>
        </row>
        <row r="410">
          <cell r="A410" t="str">
            <v>GIR-DER-16M</v>
          </cell>
          <cell r="B410" t="str">
            <v>Steel Gantry girder approximately 16m long, 0.8 x 0.8 m square, constructed from 90 x 90 x8mm thick angle chords, 50 x 50 x 5 mm  thick angle braces 45 x 45 x 5mm cross braces and  203 x 76mm and 152 x76 mm  channel  attachment points. </v>
          </cell>
          <cell r="C410" t="str">
            <v>GIR-DER-16M</v>
          </cell>
          <cell r="D410" t="str">
            <v>No</v>
          </cell>
          <cell r="E410">
            <v>15900</v>
          </cell>
          <cell r="F410">
            <v>0</v>
          </cell>
        </row>
        <row r="411">
          <cell r="A411" t="str">
            <v>STR_-G__-3-GS10</v>
          </cell>
          <cell r="B411" t="str">
            <v>220 kV Steel Gantry Girder 10 metres wide</v>
          </cell>
          <cell r="C411" t="str">
            <v>STR_-G__-3-GS10</v>
          </cell>
          <cell r="D411" t="str">
            <v>No</v>
          </cell>
          <cell r="E411">
            <v>0.1</v>
          </cell>
          <cell r="F411">
            <v>0.2</v>
          </cell>
        </row>
        <row r="412">
          <cell r="A412" t="str">
            <v>STR_-G__-4-_S</v>
          </cell>
          <cell r="B412" t="str">
            <v>220 kV Steel Gantry and girder 8.7m high 15m wide (girder approx 8.7m above gnd)consisting of 813mm OD poles (8m high), 457 OD upper section (5m high) and girder (Same as 220kV gantry)</v>
          </cell>
          <cell r="C412" t="str">
            <v>STR_-G__-4-_S</v>
          </cell>
          <cell r="D412" t="str">
            <v>No</v>
          </cell>
          <cell r="E412" t="e">
            <v>#REF!</v>
          </cell>
          <cell r="F412">
            <v>8000</v>
          </cell>
        </row>
        <row r="413">
          <cell r="A413" t="str">
            <v>STR_-G__-5-TS07</v>
          </cell>
          <cell r="B413" t="str">
            <v>220 kV Steel Gantry Tower 7 metres high</v>
          </cell>
          <cell r="C413" t="str">
            <v>STR_-G__-5-TS07</v>
          </cell>
          <cell r="D413" t="str">
            <v>No</v>
          </cell>
          <cell r="E413">
            <v>0.1</v>
          </cell>
          <cell r="F413">
            <v>0.2</v>
          </cell>
        </row>
        <row r="414">
          <cell r="A414" t="str">
            <v>STR_-G__-5-TA08</v>
          </cell>
          <cell r="B414" t="str">
            <v>220 kV Aluminium Gantry Tower 8 metres high</v>
          </cell>
          <cell r="C414" t="str">
            <v>STR_-G__-5-TA08</v>
          </cell>
          <cell r="D414" t="str">
            <v>No</v>
          </cell>
          <cell r="E414">
            <v>0.1</v>
          </cell>
          <cell r="F414">
            <v>0.2</v>
          </cell>
        </row>
        <row r="415">
          <cell r="A415" t="str">
            <v>BUS-G__-1-A</v>
          </cell>
          <cell r="B415" t="str">
            <v>220 kV Rigid Bus bay length 10.8m, steel insulator posts 3.1m high, 220 kV insulators, 50mm dia alloy bus, twin butterfly flexible and fittings at one end</v>
          </cell>
          <cell r="C415" t="str">
            <v>BUS-G__-1-A</v>
          </cell>
          <cell r="D415" t="str">
            <v>Bay</v>
          </cell>
          <cell r="E415">
            <v>14700</v>
          </cell>
          <cell r="F415">
            <v>26900</v>
          </cell>
        </row>
        <row r="416">
          <cell r="A416" t="str">
            <v>BUS-G__-2-C</v>
          </cell>
          <cell r="B416" t="str">
            <v>220 kV Strung (Flexible)  Bus consisting of bus termination each end, three Cicada conductor and insulators</v>
          </cell>
          <cell r="C416" t="str">
            <v>BUS-G__-2-C</v>
          </cell>
          <cell r="D416" t="str">
            <v>Bus</v>
          </cell>
          <cell r="E416">
            <v>0.1</v>
          </cell>
          <cell r="F416">
            <v>0.2</v>
          </cell>
        </row>
        <row r="417">
          <cell r="A417" t="str">
            <v>BUS-G__-4-S</v>
          </cell>
          <cell r="B417" t="str">
            <v>220 kV steel "T" tower structure ( includes single steel upright, cross beam and insulators)</v>
          </cell>
          <cell r="C417" t="str">
            <v>BUS-G__-4-S</v>
          </cell>
          <cell r="D417" t="str">
            <v>No</v>
          </cell>
          <cell r="E417">
            <v>0.1</v>
          </cell>
          <cell r="F417">
            <v>0.2</v>
          </cell>
        </row>
        <row r="418">
          <cell r="A418" t="str">
            <v>CAPS-G__--</v>
          </cell>
          <cell r="B418" t="str">
            <v>Capacitor banks</v>
          </cell>
          <cell r="C418" t="str">
            <v>CAPS-G__--</v>
          </cell>
          <cell r="D418" t="str">
            <v>No</v>
          </cell>
          <cell r="E418">
            <v>0</v>
          </cell>
          <cell r="F418">
            <v>0</v>
          </cell>
        </row>
        <row r="419">
          <cell r="A419" t="str">
            <v>220-CB-ABB-4000-CAP</v>
          </cell>
          <cell r="B419" t="str">
            <v>220 kV 4000 Amp, Circuit Breaker, ( ABB LTB 245E1 Gas Insulated, Outdoor, Live Tank for use on CAP banks with insulators, stands and connections to equipment one side</v>
          </cell>
          <cell r="C419" t="str">
            <v>220-CB-ABB-4000-CAP</v>
          </cell>
          <cell r="D419" t="str">
            <v>No</v>
          </cell>
          <cell r="E419">
            <v>143100</v>
          </cell>
          <cell r="F419">
            <v>32800</v>
          </cell>
        </row>
        <row r="420">
          <cell r="A420" t="str">
            <v>220-CB-ABB-4000</v>
          </cell>
          <cell r="B420" t="str">
            <v>220 kV 4000 Amp, Circuit Breaker, ( ABB LTB 245E1 Gas Insulated, Outdoor, Live Tankwith insulators, stands and connections to equipment one side</v>
          </cell>
          <cell r="C420" t="str">
            <v>220-CB-ABB-4000</v>
          </cell>
          <cell r="D420" t="str">
            <v>No</v>
          </cell>
          <cell r="E420">
            <v>86000</v>
          </cell>
          <cell r="F420">
            <v>24000</v>
          </cell>
        </row>
        <row r="421">
          <cell r="A421" t="str">
            <v>220-CB-SEI-3150</v>
          </cell>
          <cell r="B421" t="str">
            <v>220 kV 4000 Amp, Circuit Breaker, ( Seimens 3AP1FG) Gas Insulated, Outdoor, Live Tank with insulators, stands and connections to equipment one side</v>
          </cell>
          <cell r="C421" t="str">
            <v>220-CB-SEI-3150</v>
          </cell>
          <cell r="D421" t="str">
            <v>No</v>
          </cell>
          <cell r="E421">
            <v>76800</v>
          </cell>
          <cell r="F421">
            <v>23100</v>
          </cell>
        </row>
        <row r="422">
          <cell r="A422" t="str">
            <v>220-CT-NIS-2500</v>
          </cell>
          <cell r="B422" t="str">
            <v>220 kV Current Transformer THREE phase unit 2500 A  5 core( Nissin FGCH-200 ) Class PX with  stands and connections to equipment one side</v>
          </cell>
          <cell r="C422" t="str">
            <v>220-CT-NIS-2500</v>
          </cell>
          <cell r="D422" t="str">
            <v>No</v>
          </cell>
          <cell r="E422">
            <v>50200</v>
          </cell>
          <cell r="F422">
            <v>14400</v>
          </cell>
        </row>
        <row r="423">
          <cell r="A423" t="str">
            <v>220-CT-NIS-1250</v>
          </cell>
          <cell r="B423" t="str">
            <v>220 kV Current Transformer THREE phase unit 1250 A  5 core( Nissin FGCH-200 ) Class PX with  stands and connections to equipment one side</v>
          </cell>
          <cell r="C423" t="str">
            <v>220-CT-NIS-1250</v>
          </cell>
          <cell r="D423" t="str">
            <v>No</v>
          </cell>
          <cell r="E423">
            <v>48500</v>
          </cell>
          <cell r="F423">
            <v>14300</v>
          </cell>
        </row>
        <row r="424">
          <cell r="A424" t="str">
            <v>220-CT-NIS-1250S</v>
          </cell>
          <cell r="B424" t="str">
            <v>220 kV Current Transformer THREE phase unit 1250 A  5 core Special - 4 protection 1 core indication ( Nissin FGCH-200 ) Class PX with  stands and connections to equipment one side</v>
          </cell>
          <cell r="C424" t="str">
            <v>220-CT-NIS-1250S</v>
          </cell>
          <cell r="D424" t="str">
            <v>No</v>
          </cell>
          <cell r="E424">
            <v>44900</v>
          </cell>
          <cell r="F424">
            <v>14100</v>
          </cell>
        </row>
        <row r="425">
          <cell r="A425" t="str">
            <v>220-CT-NIS-2500S</v>
          </cell>
          <cell r="B425" t="str">
            <v>220 kV Current Transformer THREE phase unit 2500 A  5 core Special - 4 protection 1 core indication ( Nissin FGCH-200 ) Class PX with  stands and connections to equipment one side</v>
          </cell>
          <cell r="C425" t="str">
            <v>220-CT-NIS-2500S</v>
          </cell>
          <cell r="D425" t="str">
            <v>No</v>
          </cell>
          <cell r="E425">
            <v>51200</v>
          </cell>
          <cell r="F425">
            <v>14500</v>
          </cell>
        </row>
        <row r="426">
          <cell r="A426" t="str">
            <v>220-CVT-TRE-7000</v>
          </cell>
          <cell r="B426" t="str">
            <v>220 kV CVT THREE phase unit 7000 pF with  stands and connections to equipment one side Trench Temp 230SX</v>
          </cell>
          <cell r="C426" t="str">
            <v>220-CVT-TRE-7000</v>
          </cell>
          <cell r="D426" t="str">
            <v>No</v>
          </cell>
          <cell r="E426">
            <v>45000</v>
          </cell>
          <cell r="F426">
            <v>13300</v>
          </cell>
        </row>
        <row r="427">
          <cell r="A427" t="str">
            <v>220-CVT-TRE-7000sp</v>
          </cell>
          <cell r="B427" t="str">
            <v>220 kV CVT THREE phase unit 7000 pF two winding  with  stands and connections to equipment one side Trench Temp 230SX</v>
          </cell>
          <cell r="C427" t="str">
            <v>220-CVT-TRE-7000sp</v>
          </cell>
          <cell r="D427" t="str">
            <v>No</v>
          </cell>
          <cell r="E427">
            <v>40200</v>
          </cell>
          <cell r="F427">
            <v>13800</v>
          </cell>
        </row>
        <row r="428">
          <cell r="A428" t="str">
            <v>DS__-G_4-1-A</v>
          </cell>
          <cell r="B428" t="str">
            <v>220 kV 1200 A Disconnector - Double break,centre rotating (IDB/J)</v>
          </cell>
          <cell r="C428" t="str">
            <v>DS__-G_4-1-A</v>
          </cell>
          <cell r="D428" t="str">
            <v>No</v>
          </cell>
          <cell r="E428">
            <v>40000</v>
          </cell>
          <cell r="F428">
            <v>27500</v>
          </cell>
        </row>
        <row r="429">
          <cell r="A429" t="str">
            <v>220-DS-HAP-1250</v>
          </cell>
          <cell r="B429" t="str">
            <v>220 KV DIS  1250A double break centre rotating -  c/w insulators (9) and stands ( Hapam Model SSBIII-245) and connection to equipment / line at one side. EXCLUDES foundations</v>
          </cell>
          <cell r="C429" t="str">
            <v>220-DS-HAP-1250</v>
          </cell>
          <cell r="D429" t="str">
            <v>No</v>
          </cell>
          <cell r="E429">
            <v>30700</v>
          </cell>
          <cell r="F429">
            <v>8200</v>
          </cell>
        </row>
        <row r="430">
          <cell r="A430" t="str">
            <v>220-DSES-HAP-1250</v>
          </cell>
          <cell r="B430" t="str">
            <v>220 KV DIS and ES 1250A double break centre rotating -  c/w insulators (9) and stands (Hapam Model SSBIII-AM-245) and connection to equipment / line at one side. EXCLUDES foundations</v>
          </cell>
          <cell r="C430" t="str">
            <v>220-DSES-HAP-1250</v>
          </cell>
          <cell r="D430" t="str">
            <v>No</v>
          </cell>
          <cell r="E430">
            <v>39300</v>
          </cell>
          <cell r="F430">
            <v>11800</v>
          </cell>
        </row>
        <row r="431">
          <cell r="A431" t="str">
            <v>220-DS-HAP-2500</v>
          </cell>
          <cell r="B431" t="str">
            <v>220 KV DIS  2500A double break centre rotating -  c/w insulators (9) and stands (Hapam Model SSBIII-245) and connection to equipment / line at one side. EXCLUDES foundations</v>
          </cell>
          <cell r="C431" t="str">
            <v>220-DS-HAP-2500</v>
          </cell>
          <cell r="D431" t="str">
            <v>No</v>
          </cell>
          <cell r="E431">
            <v>34000</v>
          </cell>
          <cell r="F431">
            <v>8200</v>
          </cell>
        </row>
        <row r="432">
          <cell r="A432" t="str">
            <v>220-DSES-HAP-2500</v>
          </cell>
          <cell r="B432" t="str">
            <v>220 KV DIS and ES 2500A double break centre rotating -  c/w insulators (9) and stands ( Hapam Model SSBIII-AM-245) and connection to equipment / line at one side. EXCLUDES foundations</v>
          </cell>
          <cell r="C432" t="str">
            <v>220-DSES-HAP-2500</v>
          </cell>
          <cell r="D432" t="str">
            <v>No</v>
          </cell>
          <cell r="E432">
            <v>42300</v>
          </cell>
          <cell r="F432">
            <v>11800</v>
          </cell>
        </row>
        <row r="433">
          <cell r="A433" t="str">
            <v>220-ES-HAP-</v>
          </cell>
          <cell r="B433" t="str">
            <v>220 KV  ES  stand alone earth switch  -  c/w insulators (9) and stands (Hapam Model ASB-245) and connection to equipment / line at one side. EXCLUDES foundations</v>
          </cell>
          <cell r="C433" t="str">
            <v>220-ES-HAP-</v>
          </cell>
          <cell r="D433" t="str">
            <v>No</v>
          </cell>
          <cell r="E433">
            <v>21700</v>
          </cell>
          <cell r="F433">
            <v>6700</v>
          </cell>
        </row>
        <row r="434">
          <cell r="A434" t="str">
            <v>220-ES-TRAN-</v>
          </cell>
          <cell r="B434" t="str">
            <v>220 KV  ES  stand alone earth switch  -  c/w insulators (9) and stands (Transfield Model EVR/D) and connection to equipment / line at one side. EXCLUDES foundations</v>
          </cell>
          <cell r="C434" t="str">
            <v>220-ES-TRAN-</v>
          </cell>
          <cell r="D434" t="str">
            <v>No</v>
          </cell>
          <cell r="E434">
            <v>31600</v>
          </cell>
          <cell r="F434">
            <v>6700</v>
          </cell>
        </row>
        <row r="435">
          <cell r="A435" t="str">
            <v>220-DS-TRAN-4000</v>
          </cell>
          <cell r="B435" t="str">
            <v>220 kV 4000 A Disconnector - Double break,centre rotating (Transfield Model IDB)manual drive  complete with stands, insulators and connections to equipment one side</v>
          </cell>
          <cell r="C435" t="str">
            <v>220-DS-TRAN-4000</v>
          </cell>
          <cell r="D435" t="str">
            <v>No</v>
          </cell>
          <cell r="E435">
            <v>52600</v>
          </cell>
          <cell r="F435">
            <v>6300</v>
          </cell>
        </row>
        <row r="436">
          <cell r="A436" t="str">
            <v>NCT_-G_3-1-TP1A</v>
          </cell>
          <cell r="B436" t="str">
            <v>220 kV Neutral Current Transformer 800A (NCT)  500/200/1 Class PX, 1A, 25kA, (TWS)</v>
          </cell>
          <cell r="C436" t="str">
            <v>NCT_-G_3-1-TP1A</v>
          </cell>
          <cell r="D436" t="str">
            <v>No</v>
          </cell>
          <cell r="E436">
            <v>5500</v>
          </cell>
          <cell r="F436">
            <v>2640</v>
          </cell>
        </row>
        <row r="437">
          <cell r="A437" t="str">
            <v>RES_-G_-1-0</v>
          </cell>
          <cell r="B437" t="str">
            <v>220 kV Neutral Earthing Resistors (NER)s Class PX 1A</v>
          </cell>
          <cell r="C437" t="str">
            <v>RES_-G_-1-0</v>
          </cell>
          <cell r="D437" t="str">
            <v>No</v>
          </cell>
          <cell r="E437">
            <v>0.1</v>
          </cell>
          <cell r="F437">
            <v>0.2</v>
          </cell>
        </row>
        <row r="438">
          <cell r="A438" t="str">
            <v>REA_-G_-1-__1_</v>
          </cell>
          <cell r="B438" t="str">
            <v>220 kV  2200MVAr, single phase, air insulated reactor  with associated support insulators and structures</v>
          </cell>
          <cell r="C438" t="str">
            <v>REA_-G_-1-__1_</v>
          </cell>
          <cell r="D438" t="str">
            <v>No</v>
          </cell>
          <cell r="E438">
            <v>0.1</v>
          </cell>
          <cell r="F438">
            <v>0.2</v>
          </cell>
        </row>
        <row r="439">
          <cell r="A439" t="str">
            <v>SA__-G_F-1-FC</v>
          </cell>
          <cell r="B439" t="str">
            <v>220 kV Surge arrester THREE phase set 40.0 kA (950 kV ABB EXLIM Q198-xH245) (Class 3) incl foundation, stands HV connection etc</v>
          </cell>
          <cell r="C439" t="str">
            <v>SA__-G_F-1-FC</v>
          </cell>
          <cell r="D439" t="str">
            <v>Set</v>
          </cell>
          <cell r="E439">
            <v>17700</v>
          </cell>
          <cell r="F439">
            <v>16050</v>
          </cell>
        </row>
        <row r="440">
          <cell r="A440" t="str">
            <v>220-CBCT-FDNS-X</v>
          </cell>
          <cell r="B440" t="str">
            <v>Combine concrete foundation for 220 kV CB and (3 ph set), includes for excavation, reinforcing steel, backfilling and concrete, EXCLUDES stands. Pad size approximately 9.6 x 4.8 x 0.4 metres ( 18.7m3)</v>
          </cell>
          <cell r="C440" t="str">
            <v>220-CBCT-FDNS-X</v>
          </cell>
          <cell r="D440" t="str">
            <v>No</v>
          </cell>
          <cell r="E440">
            <v>0</v>
          </cell>
          <cell r="F440">
            <v>22000</v>
          </cell>
        </row>
        <row r="441">
          <cell r="A441" t="str">
            <v>220-CB-FDNS-X</v>
          </cell>
          <cell r="B441" t="str">
            <v>Concrete foundation for 220 kV CB, includes for excavation, reinforcing steel, backfilling and concrete, EXCLUDES stands. Pad size approximately 9.6 x 1.8 x 0.4 metres ( 7.2m3)</v>
          </cell>
          <cell r="C441" t="str">
            <v>220-CB-FDNS-X</v>
          </cell>
          <cell r="D441" t="str">
            <v>No</v>
          </cell>
          <cell r="E441">
            <v>0</v>
          </cell>
          <cell r="F441">
            <v>9500</v>
          </cell>
        </row>
        <row r="442">
          <cell r="A442" t="str">
            <v>220-CT-FDNS-X</v>
          </cell>
          <cell r="B442" t="str">
            <v>Concrete foundation for 220 kV CT (3 ph set), includes for excavation, reinforcing steel, backfilling and concrete, EXCLUDES stands. Pad size approximately 9.6 x 1.4 x 0.4 metres ( 5.6m3)</v>
          </cell>
          <cell r="C442" t="str">
            <v>220-CT-FDNS-X</v>
          </cell>
          <cell r="D442" t="str">
            <v>No</v>
          </cell>
          <cell r="E442">
            <v>0</v>
          </cell>
          <cell r="F442">
            <v>8400</v>
          </cell>
        </row>
        <row r="443">
          <cell r="A443" t="str">
            <v>220-DS-FDNS-X</v>
          </cell>
          <cell r="B443" t="str">
            <v>Concrete foundation for 220 kV DS, includes for excavation, reinforcing steel, backfilling and concrete, EXCLUDES stands. Pad size approximately 8.4 x 4.0 x 0.3 metres ( 10.4m3)</v>
          </cell>
          <cell r="C443" t="str">
            <v>220-DS-FDNS-X</v>
          </cell>
          <cell r="D443" t="str">
            <v>No</v>
          </cell>
          <cell r="E443">
            <v>0</v>
          </cell>
          <cell r="F443">
            <v>11700</v>
          </cell>
        </row>
        <row r="444">
          <cell r="A444" t="str">
            <v>220-BUS-FDNS-X</v>
          </cell>
          <cell r="B444" t="str">
            <v>Concrete foundation for single 220 kV bus post insulator, includes for excavation, reinforcing steel, backfilling and concrete, EXCLUDES stands. Pad size approximately 1.0 x 1.0 x 0.3  metres and 0.35 m square pedestall ( 0.4m3)</v>
          </cell>
          <cell r="C444" t="str">
            <v>220-BUS-FDNS-X</v>
          </cell>
          <cell r="D444" t="str">
            <v>No</v>
          </cell>
          <cell r="E444">
            <v>0</v>
          </cell>
          <cell r="F444">
            <v>2600</v>
          </cell>
        </row>
        <row r="445">
          <cell r="A445" t="str">
            <v>220-NER-FDNS-X</v>
          </cell>
          <cell r="B445" t="str">
            <v>Concrete foundation for 220 kV NER, includes for excavation, reinforcing steel, backfilling and concrete, EXCLUDES stands. Pad size approximately 2.0 x 2.0 x 0.6  metres ( 2.4m3)</v>
          </cell>
          <cell r="C445" t="str">
            <v>220-NER-FDNS-X</v>
          </cell>
          <cell r="D445" t="str">
            <v>No</v>
          </cell>
          <cell r="E445">
            <v>0</v>
          </cell>
          <cell r="F445">
            <v>3500</v>
          </cell>
        </row>
        <row r="446">
          <cell r="A446" t="str">
            <v>220-SA-FDNS-X</v>
          </cell>
          <cell r="B446" t="str">
            <v>Concrete foundation for 220 kV Surge Arrester (Single unit), includes for excavation, reinforcing steel, backfilling and concrete, EXCLUDES stands. Pad size approximately 1.0 x 1.0 x 0.3  metres ( 0.3m3)</v>
          </cell>
          <cell r="C446" t="str">
            <v>220-SA-FDNS-X</v>
          </cell>
          <cell r="D446" t="str">
            <v>No</v>
          </cell>
          <cell r="E446">
            <v>0</v>
          </cell>
          <cell r="F446">
            <v>2100</v>
          </cell>
        </row>
        <row r="447">
          <cell r="A447" t="str">
            <v>FNDT-G__-1-G</v>
          </cell>
          <cell r="B447" t="str">
            <v>Foundations for 220 kV gantry steel tower (from ODV)</v>
          </cell>
          <cell r="C447" t="str">
            <v>FNDT-G__-1-G</v>
          </cell>
          <cell r="D447" t="str">
            <v>No</v>
          </cell>
          <cell r="E447">
            <v>2700</v>
          </cell>
          <cell r="F447">
            <v>33500</v>
          </cell>
        </row>
        <row r="448">
          <cell r="A448" t="str">
            <v>VT__-G__-1-AP__</v>
          </cell>
          <cell r="B448" t="str">
            <v>220 kV Voltage Transformer SINGLE Phase single winding Class 3P (Arteche UTD123)</v>
          </cell>
          <cell r="C448" t="str">
            <v>VT__-G__-1-AP__</v>
          </cell>
          <cell r="D448" t="str">
            <v>Unit</v>
          </cell>
          <cell r="E448">
            <v>6850</v>
          </cell>
          <cell r="F448">
            <v>6500</v>
          </cell>
        </row>
        <row r="449">
          <cell r="A449" t="str">
            <v>VT__-G__-2-AP__</v>
          </cell>
          <cell r="B449" t="str">
            <v>220 kV Voltage Transformer THREE Phase single winding Class 3P (Arteche UTD123)</v>
          </cell>
          <cell r="C449" t="str">
            <v>VT__-G__-2-AP__</v>
          </cell>
          <cell r="D449" t="str">
            <v>Set</v>
          </cell>
          <cell r="E449">
            <v>20100</v>
          </cell>
          <cell r="F449">
            <v>31800</v>
          </cell>
        </row>
        <row r="457">
          <cell r="A457" t="str">
            <v>Transformers</v>
          </cell>
          <cell r="B457" t="str">
            <v>Transformers</v>
          </cell>
        </row>
        <row r="458">
          <cell r="A458" t="str">
            <v>NOT-USED-TX--</v>
          </cell>
          <cell r="B458" t="str">
            <v>Blank Code Used as place filler</v>
          </cell>
          <cell r="C458" t="str">
            <v>NOT-USED-TX--</v>
          </cell>
          <cell r="D458" t="str">
            <v>No</v>
          </cell>
          <cell r="E458">
            <v>0</v>
          </cell>
          <cell r="F458">
            <v>0</v>
          </cell>
        </row>
        <row r="459">
          <cell r="A459" t="str">
            <v>FDS_-E__-9-TF</v>
          </cell>
          <cell r="B459" t="str">
            <v>Transformer foundations  up to 40 MVA</v>
          </cell>
          <cell r="C459" t="str">
            <v>FDS_-E__-9-TF</v>
          </cell>
          <cell r="D459" t="str">
            <v>No</v>
          </cell>
          <cell r="E459">
            <v>0</v>
          </cell>
          <cell r="F459">
            <v>55000</v>
          </cell>
        </row>
        <row r="460">
          <cell r="A460" t="str">
            <v>FDS_-F__-5-C</v>
          </cell>
          <cell r="B460" t="str">
            <v>Transformer foundations over 40 MVA and up to 80 MVA</v>
          </cell>
          <cell r="C460" t="str">
            <v>FDS_-F__-5-C</v>
          </cell>
          <cell r="D460" t="str">
            <v>No</v>
          </cell>
          <cell r="E460">
            <v>0</v>
          </cell>
          <cell r="F460">
            <v>85000</v>
          </cell>
        </row>
        <row r="461">
          <cell r="A461" t="str">
            <v>FDS_-G__-5-C</v>
          </cell>
          <cell r="B461" t="str">
            <v>Transformer foundations over 80 and up to 120 MVA</v>
          </cell>
          <cell r="C461" t="str">
            <v>FDS_-G__-5-C</v>
          </cell>
          <cell r="D461" t="str">
            <v>No</v>
          </cell>
          <cell r="E461">
            <v>0</v>
          </cell>
          <cell r="F461">
            <v>105000</v>
          </cell>
        </row>
        <row r="462">
          <cell r="A462" t="str">
            <v>FDS_-G__-5-C</v>
          </cell>
          <cell r="B462" t="str">
            <v>Transformer foundations over 80 and up to 120 MVA</v>
          </cell>
          <cell r="C462" t="str">
            <v>FDS_-G__-5-C</v>
          </cell>
          <cell r="D462" t="str">
            <v>No</v>
          </cell>
          <cell r="E462">
            <v>0</v>
          </cell>
          <cell r="F462">
            <v>105000</v>
          </cell>
        </row>
        <row r="463">
          <cell r="A463" t="str">
            <v>TF__-____-FW-W</v>
          </cell>
          <cell r="B463" t="str">
            <v>Transformer Firewall based on wall 12 m x 5 metres high</v>
          </cell>
          <cell r="C463" t="str">
            <v>TF__-____-FW-W</v>
          </cell>
          <cell r="D463" t="str">
            <v>Prov Sum</v>
          </cell>
          <cell r="E463">
            <v>0</v>
          </cell>
          <cell r="F463">
            <v>57000</v>
          </cell>
        </row>
        <row r="464">
          <cell r="A464" t="str">
            <v>TF__-____-OC-V</v>
          </cell>
          <cell r="B464" t="str">
            <v>Valves, Pipes, and Manholes for Transformer Foundation</v>
          </cell>
          <cell r="C464" t="str">
            <v>TF__-____-OC-V</v>
          </cell>
          <cell r="D464" t="str">
            <v>Prov Sum</v>
          </cell>
          <cell r="E464">
            <v>0</v>
          </cell>
          <cell r="F464">
            <v>15000</v>
          </cell>
        </row>
        <row r="465">
          <cell r="A465" t="str">
            <v>TF__-_J_-OC-B</v>
          </cell>
          <cell r="B465" t="e">
            <v>#N/A</v>
          </cell>
          <cell r="C465" t="str">
            <v>TF__-_J_-OC-B</v>
          </cell>
          <cell r="D465" t="e">
            <v>#N/A</v>
          </cell>
          <cell r="E465" t="e">
            <v>#N/A</v>
          </cell>
          <cell r="F465" t="e">
            <v>#N/A</v>
          </cell>
        </row>
        <row r="466">
          <cell r="A466" t="str">
            <v>220-110-250MVA-TX</v>
          </cell>
          <cell r="B466" t="str">
            <v>Transformer  220/110 kV 250MVA -Pauwels  (PSA No1) complete with OLTC, surge arresters,  DDP AKLD.  Install  is for final connections and final commissioning - Oil filling, site assembly, precommissioning, inland  transport are separate priceable  items</v>
          </cell>
          <cell r="C466" t="str">
            <v>220-110-250MVA-TX</v>
          </cell>
          <cell r="D466" t="str">
            <v>Each</v>
          </cell>
          <cell r="E466">
            <v>2536400</v>
          </cell>
          <cell r="F466">
            <v>21500</v>
          </cell>
        </row>
        <row r="467">
          <cell r="A467" t="str">
            <v>220-110-120MVA-TX</v>
          </cell>
          <cell r="B467" t="str">
            <v>Transformer  220/110 kV 120MVA -Pauwels  (PSA No2) complete with OLTC, surge arresters,  DDP AKLD.  Install  is for final connections and final commissioning - Oil filling, site assembly, precommissioning, inland  transport are separate priceable  items</v>
          </cell>
          <cell r="C467" t="str">
            <v>220-110-120MVA-TX</v>
          </cell>
          <cell r="D467" t="str">
            <v>Each</v>
          </cell>
          <cell r="E467">
            <v>1824400</v>
          </cell>
          <cell r="F467">
            <v>21500</v>
          </cell>
        </row>
        <row r="468">
          <cell r="A468" t="str">
            <v>220-33-120MVA-TX</v>
          </cell>
          <cell r="B468" t="str">
            <v>Transformer  220/33 kV 120MVA -Pauwels  (PSA No6) complete with OLTC, surge arresters,  DDP AKLD.  Install  is for final connections and final commissioning - Oil filling, site assembly, precommissioning, inland  transport are separate priceable  items</v>
          </cell>
          <cell r="C468" t="str">
            <v>220-33-120MVA-TX</v>
          </cell>
          <cell r="D468" t="str">
            <v>Each</v>
          </cell>
          <cell r="E468">
            <v>2168800</v>
          </cell>
          <cell r="F468">
            <v>18000</v>
          </cell>
        </row>
        <row r="469">
          <cell r="A469" t="str">
            <v>220-33-60MVA-TX</v>
          </cell>
          <cell r="B469" t="str">
            <v>Transformer  220/33kV  60MVA -Pauwels  (PSA No7) complete with OLTC, surge arresters,  DDP AKLD.  Install  is for final connections and final commissioning - Oil filling, site assembly, precommissioning, inland  transport are separate priceable  items</v>
          </cell>
          <cell r="C469" t="str">
            <v>220-33-60MVA-TX</v>
          </cell>
          <cell r="D469" t="str">
            <v>Each</v>
          </cell>
          <cell r="E469">
            <v>1578400</v>
          </cell>
          <cell r="F469">
            <v>18000</v>
          </cell>
        </row>
        <row r="470">
          <cell r="A470" t="str">
            <v>110-33-120MVA-TX</v>
          </cell>
          <cell r="B470" t="str">
            <v>Transformer  110/33 120MVA -ABB  (PSA No3) complete with OLTC, surge arresters,  DDP AKLD.  Install  is for final connections and final commissioning - Oil filling, site assembly, precommissioning, inland  transport are separate priceable  items</v>
          </cell>
          <cell r="C470" t="str">
            <v>110-33-120MVA-TX</v>
          </cell>
          <cell r="D470" t="str">
            <v>Each</v>
          </cell>
          <cell r="E470">
            <v>1757600</v>
          </cell>
          <cell r="F470">
            <v>18000</v>
          </cell>
        </row>
        <row r="471">
          <cell r="A471" t="str">
            <v>110-33-60MVA-TX</v>
          </cell>
          <cell r="B471" t="str">
            <v>Transformer  110/33 60MVA -ABB  (PSA No4) complete with OLTC, surge arresters,  DDP AKLD.  Install  is for final connections and final commissioning - Oil filling, site assembly, precommissioning, inland  transport are separate priceable  items</v>
          </cell>
          <cell r="C471" t="str">
            <v>110-33-60MVA-TX</v>
          </cell>
          <cell r="D471" t="str">
            <v>Each</v>
          </cell>
          <cell r="E471">
            <v>1097600</v>
          </cell>
          <cell r="F471">
            <v>15900</v>
          </cell>
        </row>
        <row r="472">
          <cell r="A472" t="str">
            <v>110-33-30MVA-TX</v>
          </cell>
          <cell r="B472" t="str">
            <v>Transformer  110/33 30MVA -ABB  (PSA No5) complete with OLTC, surge arresters,  DDP AKLD.  Install  is for final connections and final commissioning - Oil filling, site assembly, precommissioning, inland  transport are separate priceable  items</v>
          </cell>
          <cell r="C472" t="str">
            <v>110-33-30MVA-TX</v>
          </cell>
          <cell r="D472" t="str">
            <v>Each</v>
          </cell>
          <cell r="E472">
            <v>743500</v>
          </cell>
          <cell r="F472">
            <v>15900</v>
          </cell>
        </row>
        <row r="473">
          <cell r="B473" t="str">
            <v>Transformer  110/11 45MVA -ABB  (PSA No8) complete with OLTC, surge arresters,  DDP AKLD.  Install  is for final connections and final commissioning - Oil filling, site assembly, precommissioning, inland  transport are separate priceable  items</v>
          </cell>
        </row>
        <row r="474">
          <cell r="B474" t="str">
            <v>Transformer  110/11 30MVA -ABB  (PSA No9) complete with OLTC, surge arresters,  DDP AKLD.  Install  is for final connections and final commissioning - Oil filling, site assembly, precommissioning, inland  transport are separate priceable  items</v>
          </cell>
        </row>
        <row r="475">
          <cell r="B475" t="str">
            <v>Transformer  110/11 10MVA -ABB  (PSA No10) complete with OLTC, surge arresters,  DDP AKLD.  Install  is for final connections and final commissioning - Oil filling, site assembly, precommissioning, inland  transport are separate priceable  items</v>
          </cell>
        </row>
        <row r="476">
          <cell r="B476" t="str">
            <v>Transformer  66/11 30MVA -ABB  (PSA No11) complete with OLTC, surge arresters,  DDP AKLD.  Install  is for final connections and final commissioning - Oil filling, site assembly, precommissioning, inland  transport are separate priceable  items</v>
          </cell>
        </row>
        <row r="477">
          <cell r="B477" t="str">
            <v>Transformer  33/11 30MVA -ABB  (PSA No12) complete with OLTC, surge arresters,  DDP AKLD.  Install  is for final connections and final commissioning - Oil filling, site assembly, precommissioning, inland  transport are separate priceable  items</v>
          </cell>
        </row>
        <row r="478">
          <cell r="B478" t="e">
            <v>#N/A</v>
          </cell>
        </row>
        <row r="479">
          <cell r="B479" t="e">
            <v>#N/A</v>
          </cell>
        </row>
        <row r="480">
          <cell r="B480" t="e">
            <v>#N/A</v>
          </cell>
        </row>
        <row r="481">
          <cell r="B481" t="e">
            <v>#N/A</v>
          </cell>
        </row>
      </sheetData>
      <sheetData sheetId="20">
        <row r="6">
          <cell r="B6" t="str">
            <v>Transpower - Bernard Palamountain</v>
          </cell>
        </row>
        <row r="7">
          <cell r="B7" t="str">
            <v>Transpower - Bob Wildash; </v>
          </cell>
        </row>
        <row r="8">
          <cell r="B8" t="str">
            <v>Transpower - Daniel Crawshay</v>
          </cell>
        </row>
        <row r="9">
          <cell r="B9" t="str">
            <v>Transpower - David Shipman</v>
          </cell>
        </row>
        <row r="10">
          <cell r="B10" t="str">
            <v>Transpower - Edward Snook; </v>
          </cell>
        </row>
        <row r="11">
          <cell r="B11" t="str">
            <v>Transpower - Gordon Craig; </v>
          </cell>
        </row>
        <row r="12">
          <cell r="B12" t="str">
            <v>Transpower - Ivan Hunt; </v>
          </cell>
        </row>
        <row r="13">
          <cell r="B13" t="str">
            <v>Transpower - Jitesh Raniga</v>
          </cell>
        </row>
        <row r="14">
          <cell r="B14" t="str">
            <v>Transpower - John Heaney</v>
          </cell>
        </row>
        <row r="15">
          <cell r="B15" t="str">
            <v>Transpower - Jon van der Horst Bruyn; </v>
          </cell>
        </row>
        <row r="16">
          <cell r="B16" t="str">
            <v>Transpower - Kent Martin; </v>
          </cell>
        </row>
        <row r="17">
          <cell r="B17" t="str">
            <v>Transpower - Malcolm Stewart; </v>
          </cell>
        </row>
        <row r="18">
          <cell r="B18" t="str">
            <v>Transpower - Matthew Copland; </v>
          </cell>
        </row>
        <row r="19">
          <cell r="B19" t="str">
            <v>Transpower - Milind Khot; </v>
          </cell>
        </row>
        <row r="20">
          <cell r="B20" t="str">
            <v>Transpower - Nick Coad; </v>
          </cell>
        </row>
        <row r="21">
          <cell r="B21" t="str">
            <v>Transpower - Ranjit Jayamaha; </v>
          </cell>
        </row>
        <row r="22">
          <cell r="B22" t="str">
            <v>Transpower - Ranjith de Silva; </v>
          </cell>
        </row>
        <row r="23">
          <cell r="B23" t="str">
            <v>Transpower - Robert Deller; </v>
          </cell>
        </row>
        <row r="24">
          <cell r="B24" t="str">
            <v>Transpower - Robert Lake; </v>
          </cell>
        </row>
        <row r="25">
          <cell r="B25" t="str">
            <v>Transpower - Roy Noble; </v>
          </cell>
        </row>
        <row r="26">
          <cell r="B26" t="str">
            <v>Transpower - Ruth English; </v>
          </cell>
        </row>
        <row r="27">
          <cell r="B27" t="str">
            <v>Transpower - Sarah Mace; </v>
          </cell>
        </row>
        <row r="28">
          <cell r="B28" t="str">
            <v>Transpower - Simon Leitch; </v>
          </cell>
        </row>
        <row r="29">
          <cell r="B29" t="str">
            <v>Transpower - Stephen McAdams</v>
          </cell>
        </row>
        <row r="30">
          <cell r="B30" t="str">
            <v>Transpower - TBA1</v>
          </cell>
        </row>
        <row r="31">
          <cell r="B31" t="str">
            <v>Transpower - TBA2</v>
          </cell>
        </row>
        <row r="32">
          <cell r="B32" t="str">
            <v>Maunsell - Alan Chant</v>
          </cell>
        </row>
        <row r="33">
          <cell r="B33" t="str">
            <v>Maunsell - Alastair McAra</v>
          </cell>
        </row>
        <row r="34">
          <cell r="B34" t="str">
            <v>Maunsell - Alexander Hermosa</v>
          </cell>
        </row>
        <row r="35">
          <cell r="B35" t="str">
            <v>Maunsell - Alisdair Reid</v>
          </cell>
        </row>
        <row r="36">
          <cell r="B36" t="str">
            <v>Maunsell - Anant Prakash</v>
          </cell>
        </row>
        <row r="37">
          <cell r="B37" t="str">
            <v>Maunsell - Andrew Baird</v>
          </cell>
        </row>
        <row r="38">
          <cell r="B38" t="str">
            <v>Maunsell - Andrew Renton</v>
          </cell>
        </row>
        <row r="39">
          <cell r="B39" t="str">
            <v>Maunsell - Andrew Wilson</v>
          </cell>
        </row>
        <row r="40">
          <cell r="B40" t="str">
            <v>Maunsell - Anton Nel</v>
          </cell>
        </row>
        <row r="41">
          <cell r="B41" t="str">
            <v>Maunsell - Arun Arora</v>
          </cell>
        </row>
        <row r="42">
          <cell r="B42" t="str">
            <v>Maunsell - Barry Stephenson</v>
          </cell>
        </row>
        <row r="43">
          <cell r="B43" t="str">
            <v>Maunsell - Biggie Nyashanu</v>
          </cell>
        </row>
        <row r="44">
          <cell r="B44" t="str">
            <v>Maunsell - Carlo Jaminola</v>
          </cell>
        </row>
        <row r="45">
          <cell r="B45" t="str">
            <v>Maunsell - Dave Almond</v>
          </cell>
        </row>
        <row r="46">
          <cell r="B46" t="str">
            <v>Maunsell - David Butel</v>
          </cell>
        </row>
        <row r="47">
          <cell r="B47" t="str">
            <v>Maunsell - Dawei Gong</v>
          </cell>
        </row>
        <row r="48">
          <cell r="B48" t="str">
            <v>Maunsell - Don Wills</v>
          </cell>
        </row>
        <row r="49">
          <cell r="B49" t="str">
            <v>Maunsell - Edward Djknavarian</v>
          </cell>
        </row>
        <row r="50">
          <cell r="B50" t="str">
            <v>Maunsell - Fatin Awni</v>
          </cell>
        </row>
        <row r="51">
          <cell r="B51" t="str">
            <v>Maunsell - Francis Wong</v>
          </cell>
        </row>
        <row r="52">
          <cell r="B52" t="str">
            <v>Maunsell - Gabriel Lim</v>
          </cell>
        </row>
        <row r="53">
          <cell r="B53" t="str">
            <v>Maunsell - George Horvath</v>
          </cell>
        </row>
        <row r="54">
          <cell r="B54" t="str">
            <v>Maunsell - Ginny Brewer</v>
          </cell>
        </row>
        <row r="55">
          <cell r="B55" t="str">
            <v>Maunsell - Henry Kubacki</v>
          </cell>
        </row>
        <row r="56">
          <cell r="B56" t="str">
            <v>Maunsell - Iqbal Kalsi</v>
          </cell>
        </row>
        <row r="57">
          <cell r="B57" t="str">
            <v>Maunsell - Jabez Smith</v>
          </cell>
        </row>
        <row r="58">
          <cell r="B58" t="str">
            <v>Maunsell - James Brien</v>
          </cell>
        </row>
        <row r="59">
          <cell r="B59" t="str">
            <v>Maunsell - Jin Phoon</v>
          </cell>
        </row>
        <row r="60">
          <cell r="B60" t="str">
            <v>Maunsell - John Coenradi</v>
          </cell>
        </row>
        <row r="61">
          <cell r="B61" t="str">
            <v>Maunsell - Kevin Morris</v>
          </cell>
        </row>
        <row r="62">
          <cell r="B62" t="str">
            <v>Maunsell - Luke Crowe</v>
          </cell>
        </row>
        <row r="63">
          <cell r="B63" t="str">
            <v>Maunsell - Michael Holtzhausen</v>
          </cell>
        </row>
        <row r="64">
          <cell r="B64" t="str">
            <v>Maunsell - Nick Smith</v>
          </cell>
        </row>
        <row r="65">
          <cell r="B65" t="str">
            <v>Maunsell - Raj Mahadeva</v>
          </cell>
        </row>
        <row r="66">
          <cell r="B66" t="str">
            <v>Maunsell - Ricardo Macasaquit</v>
          </cell>
        </row>
        <row r="67">
          <cell r="B67" t="str">
            <v>Maunsell - Rob Orange</v>
          </cell>
        </row>
        <row r="68">
          <cell r="B68" t="str">
            <v>Maunsell - Sam Zhao</v>
          </cell>
        </row>
        <row r="69">
          <cell r="B69" t="str">
            <v>Maunsell - Sarah Fuller</v>
          </cell>
        </row>
        <row r="70">
          <cell r="B70" t="str">
            <v>Maunsell - Saurabh Rajvanshi</v>
          </cell>
        </row>
        <row r="71">
          <cell r="B71" t="str">
            <v>Maunsell - Stacey Williams</v>
          </cell>
        </row>
        <row r="72">
          <cell r="B72" t="str">
            <v>Maunsell - Stephen Kendrick</v>
          </cell>
        </row>
        <row r="73">
          <cell r="B73" t="str">
            <v>Maunsell - Stephen Thomas</v>
          </cell>
        </row>
        <row r="74">
          <cell r="B74" t="str">
            <v>Maunsell - Sushama Khot</v>
          </cell>
        </row>
        <row r="75">
          <cell r="B75" t="str">
            <v>Maunsell - Willie Otto</v>
          </cell>
        </row>
        <row r="76">
          <cell r="B76" t="str">
            <v>Maunsell - Ying Wang</v>
          </cell>
        </row>
        <row r="77">
          <cell r="B77" t="str">
            <v>Beca - 1</v>
          </cell>
        </row>
        <row r="78">
          <cell r="B78" t="str">
            <v>Beca - 2</v>
          </cell>
        </row>
        <row r="79">
          <cell r="B79" t="str">
            <v>Beca - 3</v>
          </cell>
        </row>
        <row r="80">
          <cell r="B80" t="str">
            <v>Beca - 4</v>
          </cell>
        </row>
        <row r="81">
          <cell r="B81" t="str">
            <v>Beca - 5</v>
          </cell>
        </row>
        <row r="82">
          <cell r="B82" t="str">
            <v>Beca - 6</v>
          </cell>
        </row>
        <row r="83">
          <cell r="B83" t="str">
            <v>Beca - 7</v>
          </cell>
        </row>
        <row r="84">
          <cell r="B84" t="str">
            <v>Beca - 8</v>
          </cell>
        </row>
        <row r="85">
          <cell r="B85" t="str">
            <v>Beca - 9</v>
          </cell>
        </row>
        <row r="86">
          <cell r="B86" t="str">
            <v>Beca - 10</v>
          </cell>
        </row>
        <row r="87">
          <cell r="B87" t="str">
            <v>TLM-1</v>
          </cell>
        </row>
        <row r="88">
          <cell r="B88" t="str">
            <v>TLM-2</v>
          </cell>
        </row>
        <row r="89">
          <cell r="B89" t="str">
            <v>TLM-3</v>
          </cell>
        </row>
        <row r="90">
          <cell r="B90" t="str">
            <v>TLM-4</v>
          </cell>
        </row>
        <row r="91">
          <cell r="B91" t="str">
            <v>TLM-5</v>
          </cell>
        </row>
        <row r="92">
          <cell r="B92" t="str">
            <v>TLM-6</v>
          </cell>
        </row>
        <row r="93">
          <cell r="B93" t="str">
            <v>TLM-7</v>
          </cell>
        </row>
        <row r="94">
          <cell r="B94" t="str">
            <v>TLM-8</v>
          </cell>
        </row>
        <row r="95">
          <cell r="B95" t="str">
            <v>TLM-9</v>
          </cell>
        </row>
        <row r="96">
          <cell r="B96" t="str">
            <v>TLM-10</v>
          </cell>
        </row>
      </sheetData>
      <sheetData sheetId="21">
        <row r="2">
          <cell r="C2" t="str">
            <v>ABY</v>
          </cell>
        </row>
        <row r="3">
          <cell r="C3" t="str">
            <v>ADD</v>
          </cell>
        </row>
        <row r="4">
          <cell r="C4" t="str">
            <v>ALB</v>
          </cell>
        </row>
        <row r="5">
          <cell r="C5" t="str">
            <v>APS</v>
          </cell>
        </row>
        <row r="6">
          <cell r="C6" t="str">
            <v>ARA</v>
          </cell>
        </row>
        <row r="7">
          <cell r="C7" t="str">
            <v>ARG</v>
          </cell>
        </row>
        <row r="8">
          <cell r="C8" t="str">
            <v>ARI</v>
          </cell>
        </row>
        <row r="9">
          <cell r="C9" t="str">
            <v>ASB</v>
          </cell>
        </row>
        <row r="10">
          <cell r="C10" t="str">
            <v>ASY</v>
          </cell>
        </row>
        <row r="11">
          <cell r="C11" t="str">
            <v>ATI</v>
          </cell>
        </row>
        <row r="12">
          <cell r="C12" t="str">
            <v>AVI</v>
          </cell>
        </row>
        <row r="13">
          <cell r="C13" t="str">
            <v>BAL</v>
          </cell>
        </row>
        <row r="14">
          <cell r="C14" t="str">
            <v>BDE</v>
          </cell>
        </row>
        <row r="15">
          <cell r="C15" t="str">
            <v>BEN</v>
          </cell>
        </row>
        <row r="16">
          <cell r="C16" t="str">
            <v>BLN</v>
          </cell>
        </row>
        <row r="17">
          <cell r="C17" t="str">
            <v>BOB</v>
          </cell>
        </row>
        <row r="18">
          <cell r="C18" t="str">
            <v>BPE</v>
          </cell>
        </row>
        <row r="19">
          <cell r="C19" t="str">
            <v>BPT</v>
          </cell>
        </row>
        <row r="20">
          <cell r="C20" t="str">
            <v>BRB</v>
          </cell>
        </row>
        <row r="21">
          <cell r="C21" t="str">
            <v>BRK</v>
          </cell>
        </row>
        <row r="22">
          <cell r="C22" t="str">
            <v>BRY</v>
          </cell>
        </row>
        <row r="23">
          <cell r="C23" t="str">
            <v>BWK</v>
          </cell>
        </row>
        <row r="24">
          <cell r="C24" t="str">
            <v>CBG</v>
          </cell>
        </row>
        <row r="25">
          <cell r="C25" t="str">
            <v>CLH</v>
          </cell>
        </row>
        <row r="26">
          <cell r="C26" t="str">
            <v>CML</v>
          </cell>
        </row>
        <row r="27">
          <cell r="C27" t="str">
            <v>COB</v>
          </cell>
        </row>
        <row r="28">
          <cell r="C28" t="str">
            <v>COL</v>
          </cell>
        </row>
        <row r="29">
          <cell r="C29" t="str">
            <v>CPK</v>
          </cell>
        </row>
        <row r="30">
          <cell r="C30" t="str">
            <v>CST</v>
          </cell>
        </row>
        <row r="31">
          <cell r="C31" t="str">
            <v>CUL</v>
          </cell>
        </row>
        <row r="32">
          <cell r="C32" t="str">
            <v>CYD</v>
          </cell>
        </row>
        <row r="33">
          <cell r="C33" t="str">
            <v>DAR</v>
          </cell>
        </row>
        <row r="34">
          <cell r="C34" t="str">
            <v>DOB</v>
          </cell>
        </row>
        <row r="35">
          <cell r="C35" t="str">
            <v>DVK</v>
          </cell>
        </row>
        <row r="36">
          <cell r="C36" t="str">
            <v>EDG</v>
          </cell>
        </row>
        <row r="37">
          <cell r="C37" t="str">
            <v>EDN</v>
          </cell>
        </row>
        <row r="38">
          <cell r="C38" t="str">
            <v>FHL</v>
          </cell>
        </row>
        <row r="39">
          <cell r="C39" t="str">
            <v>FKN</v>
          </cell>
        </row>
        <row r="40">
          <cell r="C40" t="str">
            <v>FTB</v>
          </cell>
        </row>
        <row r="41">
          <cell r="C41" t="str">
            <v>FTN</v>
          </cell>
        </row>
        <row r="42">
          <cell r="C42" t="str">
            <v>GDE</v>
          </cell>
        </row>
        <row r="43">
          <cell r="C43" t="str">
            <v>GFD</v>
          </cell>
        </row>
        <row r="44">
          <cell r="C44" t="str">
            <v>GIS</v>
          </cell>
        </row>
        <row r="45">
          <cell r="C45" t="str">
            <v>GLN</v>
          </cell>
        </row>
        <row r="46">
          <cell r="C46" t="str">
            <v>GOR</v>
          </cell>
        </row>
        <row r="47">
          <cell r="C47" t="str">
            <v>GYM</v>
          </cell>
        </row>
        <row r="48">
          <cell r="C48" t="str">
            <v>GYT</v>
          </cell>
        </row>
        <row r="49">
          <cell r="C49" t="str">
            <v>HAI</v>
          </cell>
        </row>
        <row r="50">
          <cell r="C50" t="str">
            <v>HAM</v>
          </cell>
        </row>
        <row r="51">
          <cell r="C51" t="str">
            <v>HAY</v>
          </cell>
        </row>
        <row r="52">
          <cell r="C52" t="str">
            <v>HBK</v>
          </cell>
        </row>
        <row r="53">
          <cell r="C53" t="str">
            <v>HEN</v>
          </cell>
        </row>
        <row r="54">
          <cell r="C54" t="str">
            <v>HEP</v>
          </cell>
        </row>
        <row r="55">
          <cell r="C55" t="str">
            <v>HHI</v>
          </cell>
        </row>
        <row r="56">
          <cell r="C56" t="str">
            <v>HIN</v>
          </cell>
        </row>
        <row r="57">
          <cell r="C57" t="str">
            <v>HKK</v>
          </cell>
        </row>
        <row r="58">
          <cell r="C58" t="str">
            <v>HLY</v>
          </cell>
        </row>
        <row r="59">
          <cell r="C59" t="str">
            <v>HOR</v>
          </cell>
        </row>
        <row r="60">
          <cell r="C60" t="str">
            <v>HPI</v>
          </cell>
        </row>
        <row r="61">
          <cell r="C61" t="str">
            <v>HTI</v>
          </cell>
        </row>
        <row r="62">
          <cell r="C62" t="str">
            <v>HUI</v>
          </cell>
        </row>
        <row r="63">
          <cell r="C63" t="str">
            <v>HWA</v>
          </cell>
        </row>
        <row r="64">
          <cell r="C64" t="str">
            <v>HWB</v>
          </cell>
        </row>
        <row r="65">
          <cell r="C65" t="str">
            <v>IGH</v>
          </cell>
        </row>
        <row r="66">
          <cell r="C66" t="str">
            <v>INV</v>
          </cell>
        </row>
        <row r="67">
          <cell r="C67" t="str">
            <v>ISL</v>
          </cell>
        </row>
        <row r="68">
          <cell r="C68" t="str">
            <v>KAI</v>
          </cell>
        </row>
        <row r="69">
          <cell r="C69" t="str">
            <v>KAW</v>
          </cell>
        </row>
        <row r="70">
          <cell r="C70" t="str">
            <v>KEN</v>
          </cell>
        </row>
        <row r="71">
          <cell r="C71" t="str">
            <v>KIK</v>
          </cell>
        </row>
        <row r="72">
          <cell r="C72" t="str">
            <v>KIN</v>
          </cell>
        </row>
        <row r="73">
          <cell r="C73" t="str">
            <v>KKA</v>
          </cell>
        </row>
        <row r="74">
          <cell r="C74" t="str">
            <v>KOE</v>
          </cell>
        </row>
        <row r="75">
          <cell r="C75" t="str">
            <v>KPO</v>
          </cell>
        </row>
        <row r="76">
          <cell r="C76" t="str">
            <v>KPU</v>
          </cell>
        </row>
        <row r="77">
          <cell r="C77" t="str">
            <v>KTA</v>
          </cell>
        </row>
        <row r="78">
          <cell r="C78" t="str">
            <v>KUM</v>
          </cell>
        </row>
        <row r="79">
          <cell r="C79" t="str">
            <v>KWA</v>
          </cell>
        </row>
        <row r="80">
          <cell r="C80" t="str">
            <v>LFD</v>
          </cell>
        </row>
        <row r="81">
          <cell r="C81" t="str">
            <v>LIV</v>
          </cell>
        </row>
        <row r="82">
          <cell r="C82" t="str">
            <v>LTN</v>
          </cell>
        </row>
        <row r="83">
          <cell r="C83" t="str">
            <v>MAN</v>
          </cell>
        </row>
        <row r="84">
          <cell r="C84" t="str">
            <v>MAT</v>
          </cell>
        </row>
        <row r="85">
          <cell r="C85" t="str">
            <v>MCH</v>
          </cell>
        </row>
        <row r="86">
          <cell r="C86" t="str">
            <v>MDN</v>
          </cell>
        </row>
        <row r="87">
          <cell r="C87" t="str">
            <v>MER</v>
          </cell>
        </row>
        <row r="88">
          <cell r="C88" t="str">
            <v>MGM</v>
          </cell>
        </row>
        <row r="89">
          <cell r="C89" t="str">
            <v>MHO</v>
          </cell>
        </row>
        <row r="90">
          <cell r="C90" t="str">
            <v>MLG</v>
          </cell>
        </row>
        <row r="91">
          <cell r="C91" t="str">
            <v>MNG</v>
          </cell>
        </row>
        <row r="92">
          <cell r="C92" t="str">
            <v>MNI</v>
          </cell>
        </row>
        <row r="93">
          <cell r="C93" t="str">
            <v>MOT</v>
          </cell>
        </row>
        <row r="94">
          <cell r="C94" t="str">
            <v>MPE</v>
          </cell>
        </row>
        <row r="95">
          <cell r="C95" t="str">
            <v>MPI</v>
          </cell>
        </row>
        <row r="96">
          <cell r="C96" t="str">
            <v>MRA</v>
          </cell>
        </row>
        <row r="97">
          <cell r="C97" t="str">
            <v>MST</v>
          </cell>
        </row>
        <row r="98">
          <cell r="C98" t="str">
            <v>MTI</v>
          </cell>
        </row>
        <row r="99">
          <cell r="C99" t="str">
            <v>MTM</v>
          </cell>
        </row>
        <row r="100">
          <cell r="C100" t="str">
            <v>MTN</v>
          </cell>
        </row>
        <row r="101">
          <cell r="C101" t="str">
            <v>MTO</v>
          </cell>
        </row>
        <row r="102">
          <cell r="C102" t="str">
            <v>MTR</v>
          </cell>
        </row>
        <row r="103">
          <cell r="C103" t="str">
            <v>NEW</v>
          </cell>
        </row>
        <row r="104">
          <cell r="C104" t="str">
            <v>NMA</v>
          </cell>
        </row>
        <row r="105">
          <cell r="C105" t="str">
            <v>NPK</v>
          </cell>
        </row>
        <row r="106">
          <cell r="C106" t="str">
            <v>NPL</v>
          </cell>
        </row>
        <row r="107">
          <cell r="C107" t="str">
            <v>NSY</v>
          </cell>
        </row>
        <row r="108">
          <cell r="C108" t="str">
            <v>OAM</v>
          </cell>
        </row>
        <row r="109">
          <cell r="C109" t="str">
            <v>OHA</v>
          </cell>
        </row>
        <row r="110">
          <cell r="C110" t="str">
            <v>OHB</v>
          </cell>
        </row>
        <row r="111">
          <cell r="C111" t="str">
            <v>OHC</v>
          </cell>
        </row>
        <row r="112">
          <cell r="C112" t="str">
            <v>OHK</v>
          </cell>
        </row>
        <row r="113">
          <cell r="C113" t="str">
            <v>OKE</v>
          </cell>
        </row>
        <row r="114">
          <cell r="C114" t="str">
            <v>OKI</v>
          </cell>
        </row>
        <row r="115">
          <cell r="C115" t="str">
            <v>OKN</v>
          </cell>
        </row>
        <row r="116">
          <cell r="C116" t="str">
            <v>ONG</v>
          </cell>
        </row>
        <row r="117">
          <cell r="C117" t="str">
            <v>OPK</v>
          </cell>
        </row>
        <row r="118">
          <cell r="C118" t="str">
            <v>OTA</v>
          </cell>
        </row>
        <row r="119">
          <cell r="C119" t="str">
            <v>OTB</v>
          </cell>
        </row>
        <row r="120">
          <cell r="C120" t="str">
            <v>OTG</v>
          </cell>
        </row>
        <row r="121">
          <cell r="C121" t="str">
            <v>OTI</v>
          </cell>
        </row>
        <row r="122">
          <cell r="C122" t="str">
            <v>OWH</v>
          </cell>
        </row>
        <row r="123">
          <cell r="C123" t="str">
            <v>PAK</v>
          </cell>
        </row>
        <row r="124">
          <cell r="C124" t="str">
            <v>PAL</v>
          </cell>
        </row>
        <row r="125">
          <cell r="C125" t="str">
            <v>PAP</v>
          </cell>
        </row>
        <row r="126">
          <cell r="C126" t="str">
            <v>PEN</v>
          </cell>
        </row>
        <row r="127">
          <cell r="C127" t="str">
            <v>PNI</v>
          </cell>
        </row>
        <row r="128">
          <cell r="C128" t="str">
            <v>PRM</v>
          </cell>
        </row>
        <row r="129">
          <cell r="C129" t="str">
            <v>RDF</v>
          </cell>
        </row>
        <row r="130">
          <cell r="C130" t="str">
            <v>RFT</v>
          </cell>
        </row>
        <row r="131">
          <cell r="C131" t="str">
            <v>REMOTE</v>
          </cell>
        </row>
        <row r="132">
          <cell r="C132" t="str">
            <v>ROS</v>
          </cell>
        </row>
        <row r="133">
          <cell r="C133" t="str">
            <v>ROT</v>
          </cell>
        </row>
        <row r="134">
          <cell r="C134" t="str">
            <v>ROX</v>
          </cell>
        </row>
        <row r="135">
          <cell r="C135" t="str">
            <v>RPO</v>
          </cell>
        </row>
        <row r="136">
          <cell r="C136" t="str">
            <v>SBK</v>
          </cell>
        </row>
        <row r="137">
          <cell r="C137" t="str">
            <v>SDN</v>
          </cell>
        </row>
        <row r="138">
          <cell r="C138" t="str">
            <v>SFD</v>
          </cell>
        </row>
        <row r="139">
          <cell r="C139" t="str">
            <v>SPN</v>
          </cell>
        </row>
        <row r="140">
          <cell r="C140" t="str">
            <v>STK</v>
          </cell>
        </row>
        <row r="141">
          <cell r="C141" t="str">
            <v>STU</v>
          </cell>
        </row>
        <row r="142">
          <cell r="C142" t="str">
            <v>SVL</v>
          </cell>
        </row>
        <row r="143">
          <cell r="C143" t="str">
            <v>SWN</v>
          </cell>
        </row>
        <row r="144">
          <cell r="C144" t="str">
            <v>TAK</v>
          </cell>
        </row>
        <row r="145">
          <cell r="C145" t="str">
            <v>TGA</v>
          </cell>
        </row>
        <row r="146">
          <cell r="C146" t="str">
            <v>TIM</v>
          </cell>
        </row>
        <row r="147">
          <cell r="C147" t="str">
            <v>TKA</v>
          </cell>
        </row>
        <row r="148">
          <cell r="C148" t="str">
            <v>TKB</v>
          </cell>
        </row>
        <row r="149">
          <cell r="C149" t="str">
            <v>TKH</v>
          </cell>
        </row>
        <row r="150">
          <cell r="C150" t="str">
            <v>TKR</v>
          </cell>
        </row>
        <row r="151">
          <cell r="C151" t="str">
            <v>TKU</v>
          </cell>
        </row>
        <row r="152">
          <cell r="C152" t="str">
            <v>TMH</v>
          </cell>
        </row>
        <row r="153">
          <cell r="C153" t="str">
            <v>TMI</v>
          </cell>
        </row>
        <row r="154">
          <cell r="C154" t="str">
            <v>TMK</v>
          </cell>
        </row>
        <row r="155">
          <cell r="C155" t="str">
            <v>TMN</v>
          </cell>
        </row>
        <row r="156">
          <cell r="C156" t="str">
            <v>TMU</v>
          </cell>
        </row>
        <row r="157">
          <cell r="C157" t="str">
            <v>TNG</v>
          </cell>
        </row>
        <row r="158">
          <cell r="C158" t="str">
            <v>TOB</v>
          </cell>
        </row>
        <row r="159">
          <cell r="C159" t="str">
            <v>TRK</v>
          </cell>
        </row>
        <row r="160">
          <cell r="C160" t="str">
            <v>TUI</v>
          </cell>
        </row>
        <row r="161">
          <cell r="C161" t="str">
            <v>TWH</v>
          </cell>
        </row>
        <row r="162">
          <cell r="C162" t="str">
            <v>TWI</v>
          </cell>
        </row>
        <row r="163">
          <cell r="C163" t="str">
            <v>TWZ</v>
          </cell>
        </row>
        <row r="164">
          <cell r="C164" t="str">
            <v>UHT</v>
          </cell>
        </row>
        <row r="165">
          <cell r="C165" t="str">
            <v>UTK</v>
          </cell>
        </row>
        <row r="166">
          <cell r="C166" t="str">
            <v>WAI</v>
          </cell>
        </row>
        <row r="167">
          <cell r="C167" t="str">
            <v>WDV</v>
          </cell>
        </row>
        <row r="168">
          <cell r="C168" t="str">
            <v>WEL</v>
          </cell>
        </row>
        <row r="169">
          <cell r="C169" t="str">
            <v>WES</v>
          </cell>
        </row>
        <row r="170">
          <cell r="C170" t="str">
            <v>WGN</v>
          </cell>
        </row>
        <row r="171">
          <cell r="C171" t="str">
            <v>WHI</v>
          </cell>
        </row>
        <row r="172">
          <cell r="C172" t="str">
            <v>WHU</v>
          </cell>
        </row>
        <row r="173">
          <cell r="C173" t="str">
            <v>WIL</v>
          </cell>
        </row>
        <row r="174">
          <cell r="C174" t="str">
            <v>WIR</v>
          </cell>
        </row>
        <row r="175">
          <cell r="C175" t="str">
            <v>WKM</v>
          </cell>
        </row>
        <row r="176">
          <cell r="C176" t="str">
            <v>WKO</v>
          </cell>
        </row>
        <row r="177">
          <cell r="C177" t="str">
            <v>WMG</v>
          </cell>
        </row>
        <row r="178">
          <cell r="C178" t="str">
            <v>WPA</v>
          </cell>
        </row>
        <row r="179">
          <cell r="C179" t="str">
            <v>WPR</v>
          </cell>
        </row>
        <row r="180">
          <cell r="C180" t="str">
            <v>WPT</v>
          </cell>
        </row>
        <row r="181">
          <cell r="C181" t="str">
            <v>WPW</v>
          </cell>
        </row>
        <row r="182">
          <cell r="C182" t="str">
            <v>WRA</v>
          </cell>
        </row>
        <row r="183">
          <cell r="C183" t="str">
            <v>WRK</v>
          </cell>
        </row>
        <row r="184">
          <cell r="C184" t="str">
            <v>WTK</v>
          </cell>
        </row>
        <row r="185">
          <cell r="C185" t="str">
            <v>WTU</v>
          </cell>
        </row>
        <row r="186">
          <cell r="C186" t="str">
            <v>WVY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A Level"/>
      <sheetName val=" UR -Summary "/>
      <sheetName val="UR-Summary PAD"/>
      <sheetName val="0. 220 kV Cable"/>
      <sheetName val="1. Enabling Wks 110kV Tie Lines"/>
      <sheetName val="2. Enabling Wks OTA-PEN C"/>
      <sheetName val="3.Enabling Wks - General Civil"/>
      <sheetName val="4. Henderson Transition "/>
      <sheetName val="5. Southdown Transition "/>
      <sheetName val="6. Huntly Transition"/>
      <sheetName val="7. Ohinewai Transition "/>
      <sheetName val="8. OTA C Transition"/>
      <sheetName val="9. Stations - AIS EW"/>
      <sheetName val="10. Stations -GIS Section"/>
      <sheetName val="GIS prices"/>
      <sheetName val="Stations Coding"/>
      <sheetName val="RTU Schedule "/>
      <sheetName val="LINES - Complete Assemblies"/>
      <sheetName val="LINES - Components"/>
      <sheetName val="People"/>
      <sheetName val="Sites"/>
    </sheetNames>
    <sheetDataSet>
      <sheetData sheetId="16">
        <row r="5">
          <cell r="B5" t="str">
            <v>Coupling Capacitor (for PLC)</v>
          </cell>
        </row>
        <row r="6">
          <cell r="B6" t="str">
            <v>Multi core Control Cables - Average length 100 metres</v>
          </cell>
        </row>
        <row r="7">
          <cell r="B7" t="str">
            <v>Disturbance Recorders</v>
          </cell>
        </row>
        <row r="8">
          <cell r="B8" t="str">
            <v>HV Test set used for calibration of metering equipment. Cost includes hire, transportation (allowance of $6k to cross C/Strait)</v>
          </cell>
        </row>
        <row r="9">
          <cell r="B9" t="str">
            <v>Blank Code Used as place filler</v>
          </cell>
        </row>
        <row r="10">
          <cell r="B10" t="str">
            <v>Power Line Carrier</v>
          </cell>
        </row>
        <row r="11">
          <cell r="B11" t="str">
            <v>Bus Protection Scheme</v>
          </cell>
        </row>
        <row r="12">
          <cell r="B12" t="str">
            <v>CB Fail Protection</v>
          </cell>
        </row>
        <row r="13">
          <cell r="B13" t="str">
            <v>Feeder protection</v>
          </cell>
        </row>
        <row r="14">
          <cell r="B14" t="str">
            <v>Line protection (Duplicate)</v>
          </cell>
        </row>
        <row r="15">
          <cell r="B15" t="str">
            <v>Line protection (single)</v>
          </cell>
        </row>
        <row r="16">
          <cell r="B16" t="str">
            <v>Protection (other)</v>
          </cell>
        </row>
        <row r="17">
          <cell r="B17" t="str">
            <v>Reactive Power Control (Includes a PLC, digital and analogue input and output modules, transducers etc)</v>
          </cell>
        </row>
        <row r="18">
          <cell r="B18" t="str">
            <v>Transformer protection</v>
          </cell>
        </row>
        <row r="19">
          <cell r="B19" t="str">
            <v>Alarm Panels (excludes Mimic etc)</v>
          </cell>
        </row>
        <row r="20">
          <cell r="B20" t="str">
            <v>Alarm Panels  Mimic</v>
          </cell>
        </row>
        <row r="21">
          <cell r="B21" t="str">
            <v>Partial prewired  cabinet either  a Comms or protection cabinet(Stock code C02002 or A040021) </v>
          </cell>
        </row>
        <row r="22">
          <cell r="B22" t="str">
            <v>Protection Capacitor Banks (SEL 351S, SPAJ,  Cooper ixP420, Trench CP04, O/C check MTI39, ABB POW Switchsync F236 , Cabinet, test blocks,etc)</v>
          </cell>
        </row>
        <row r="23">
          <cell r="B23" t="str">
            <v>Revenue Metering consisting of "new" Quad 4 meter, metering cabinet, certification of installation by Test House, excludes the use and hirage of the Transpower  HV Test Set.</v>
          </cell>
        </row>
        <row r="27">
          <cell r="B27" t="str">
            <v>Tekron GPR satelite clock (time pulse generator) mounted in existing cabinet</v>
          </cell>
        </row>
        <row r="28">
          <cell r="B28" t="str">
            <v>SCADA (C50 RTU’s) Main File plus expansion file, including cabinet</v>
          </cell>
        </row>
        <row r="29">
          <cell r="B29" t="str">
            <v>SCADA (Harris RTU’s)  D20C mounted in existing cabinet</v>
          </cell>
        </row>
        <row r="30">
          <cell r="B30" t="str">
            <v>SCADA (Harris RTU’s) ,D20K mounted in existing cabinet</v>
          </cell>
        </row>
        <row r="31">
          <cell r="B31" t="str">
            <v>SCADA (Harris RTU’s) D20S mounted in existing cabinet</v>
          </cell>
        </row>
        <row r="32">
          <cell r="B32" t="str">
            <v>SCADA (Harris RTU’s) 1xD20ME and data display unit mounted in existing cabinet</v>
          </cell>
        </row>
        <row r="33">
          <cell r="B33" t="str">
            <v>SCADA database changes to SCADA database carried out by PSC</v>
          </cell>
        </row>
        <row r="34">
          <cell r="B34" t="str">
            <v>SCADA Configuration changes to SCADA carried out by Transfield</v>
          </cell>
        </row>
        <row r="35">
          <cell r="B35" t="str">
            <v> To Add a new SR760 or SEL 321 or SEL351S or  SEL311C or 7SA522 each (Transfield)</v>
          </cell>
        </row>
        <row r="36">
          <cell r="B36" t="str">
            <v>Changes to Existing IED I/O (Transfield)</v>
          </cell>
        </row>
        <row r="37">
          <cell r="B37" t="str">
            <v>To add a Third Party Interconnection point (DNP3) (Transfield)</v>
          </cell>
        </row>
        <row r="38">
          <cell r="B38" t="str">
            <v>Changes to a Third Party Interconnection point (DNP3)  (Transfield)</v>
          </cell>
        </row>
        <row r="39">
          <cell r="B39" t="str">
            <v>Changes to PLC I/O  (Transfield)</v>
          </cell>
        </row>
        <row r="40">
          <cell r="B40" t="str">
            <v>Changes to Hardwired I/O  (Transfield)</v>
          </cell>
        </row>
        <row r="41">
          <cell r="B41" t="str">
            <v>To add a new D20S, D20K, D20A, D20C (Transfield)</v>
          </cell>
        </row>
        <row r="42">
          <cell r="B42" t="str">
            <v>To upgrade to a D20M++ or D20ME (Transfield)</v>
          </cell>
        </row>
        <row r="43">
          <cell r="B43" t="str">
            <v>To add a new D20M++ or D20ME or D200/cpu and I/O (Transfield)</v>
          </cell>
        </row>
        <row r="44">
          <cell r="B44" t="str">
            <v>Enabling a new Application (Transfield)</v>
          </cell>
        </row>
        <row r="45">
          <cell r="B45" t="str">
            <v>Realflex Alarm System Additional Charge to RTU costs (Transfield)</v>
          </cell>
        </row>
        <row r="46">
          <cell r="B46" t="str">
            <v>Realflex Control System Additional Charge to RTU costs (Transfield)</v>
          </cell>
        </row>
        <row r="47">
          <cell r="B47" t="str">
            <v>Changes to or adding a Data Display Unit in Association with a single RTU (Transfield)</v>
          </cell>
        </row>
        <row r="48">
          <cell r="B48" t="str">
            <v>Changes to or adding Data Display Unit associated with a single RTU and in conjunction with I/O changes (Transfield)</v>
          </cell>
        </row>
        <row r="49">
          <cell r="B49" t="str">
            <v>SCADA (Harris RTU’s) 1xD20ME, D20S, D20C,D20K including Tekron time pulse generator and  cabinet</v>
          </cell>
        </row>
        <row r="53">
          <cell r="B53" t="str">
            <v>Antenna - Andrew type WHP-12F  </v>
          </cell>
        </row>
        <row r="54">
          <cell r="B54" t="str">
            <v>Blank Code Used as place filler</v>
          </cell>
        </row>
        <row r="55">
          <cell r="B55" t="str">
            <v>Antenna - MiniGrid 1.8m diameter </v>
          </cell>
        </row>
        <row r="56">
          <cell r="B56" t="str">
            <v>Communication Cables (connection between antenna and Radio equipment)</v>
          </cell>
        </row>
        <row r="57">
          <cell r="B57" t="str">
            <v>Communications Software</v>
          </cell>
        </row>
        <row r="58">
          <cell r="B58" t="str">
            <v> 24 Volt DC Battery bank 220 ampere with no stands  (Comms)</v>
          </cell>
        </row>
        <row r="59">
          <cell r="B59" t="str">
            <v> 24 Volt DC Battery bank  160 amperes, complete with stands (Comms)</v>
          </cell>
        </row>
        <row r="60">
          <cell r="B60" t="str">
            <v>24 v DC Battery Charger (Comms) Invensys rectifiers</v>
          </cell>
        </row>
        <row r="61">
          <cell r="B61" t="str">
            <v>24 VDC Dstribution System Cabinet </v>
          </cell>
        </row>
        <row r="62">
          <cell r="B62" t="str">
            <v>Isolation cabinet and Fibre isolation equipment</v>
          </cell>
        </row>
        <row r="63">
          <cell r="B63" t="str">
            <v>Line Traps 1200 amp</v>
          </cell>
        </row>
        <row r="64">
          <cell r="B64" t="str">
            <v>Line Traps 2000 amp</v>
          </cell>
        </row>
        <row r="65">
          <cell r="B65" t="str">
            <v> Line Traps 800 amp</v>
          </cell>
        </row>
        <row r="66">
          <cell r="B66" t="str">
            <v>Line Matching Units</v>
          </cell>
        </row>
        <row r="67">
          <cell r="B67" t="str">
            <v>Line Matching Units</v>
          </cell>
        </row>
        <row r="68">
          <cell r="B68" t="str">
            <v>Multiplexing equipment (Nokia) with DM8,DM2, DB2,DN2, DIU,VF, V.24 cards and SOMS program</v>
          </cell>
        </row>
        <row r="69">
          <cell r="B69" t="str">
            <v>Protection signalling equipment (Dimat TPC1 terminal)</v>
          </cell>
        </row>
        <row r="70">
          <cell r="B70" t="str">
            <v>Digital Protection signalling equipment (Dimat OPD terminal)</v>
          </cell>
        </row>
        <row r="71">
          <cell r="B71" t="str">
            <v>Radio DXR 710 10 GHz  unit complete</v>
          </cell>
        </row>
        <row r="72">
          <cell r="B72" t="str">
            <v>Radio DXR200 L Band complete</v>
          </cell>
        </row>
        <row r="73">
          <cell r="B73" t="str">
            <v>Radio (mobile radio)</v>
          </cell>
        </row>
        <row r="74">
          <cell r="B74" t="str">
            <v>Radio (Portable and satellite))</v>
          </cell>
        </row>
        <row r="75">
          <cell r="B75" t="str">
            <v>Radio (supervisory equipment)</v>
          </cell>
        </row>
        <row r="76">
          <cell r="B76" t="str">
            <v>Foundations for comms lattice tower</v>
          </cell>
        </row>
        <row r="77">
          <cell r="B77" t="str">
            <v>Foundations for comms steel tower</v>
          </cell>
        </row>
        <row r="78">
          <cell r="B78" t="str">
            <v>Telephone Equipment</v>
          </cell>
        </row>
        <row r="79">
          <cell r="B79" t="str">
            <v>Fax machine</v>
          </cell>
        </row>
        <row r="80">
          <cell r="B80" t="str">
            <v>Smart Exchange PABX (Chesivale Sx106)</v>
          </cell>
        </row>
        <row r="81">
          <cell r="B81" t="str">
            <v>Temporary Buildings</v>
          </cell>
        </row>
        <row r="82">
          <cell r="B82" t="str">
            <v>Tuning packs for Line Traps</v>
          </cell>
        </row>
        <row r="83">
          <cell r="B83" t="str">
            <v>Radio Tower Lattice</v>
          </cell>
        </row>
        <row r="84">
          <cell r="B84" t="str">
            <v>Radio  Pole 15 metres Concrete</v>
          </cell>
        </row>
        <row r="85">
          <cell r="B85" t="str">
            <v>Radio  Pole 15 metres Steel</v>
          </cell>
        </row>
        <row r="89">
          <cell r="B89" t="str">
            <v>Blank Code Used as place filler</v>
          </cell>
        </row>
        <row r="90">
          <cell r="B90" t="str">
            <v>Multi core Control Cables from ODJB to control / relay room - average length 100 metres, includes earth of sheath, cable terminations and run in existing ducts</v>
          </cell>
        </row>
        <row r="91">
          <cell r="B91" t="str">
            <v>Multi core Control Cables from ODJB to control / relay room - average length 150 metres, includes earth of sheath, cable terminations and run in existing ducts</v>
          </cell>
        </row>
        <row r="92">
          <cell r="B92" t="str">
            <v>Multi core Control Cables from ODJB to control / relay room - average length 100 metres includes earth of sheath, cable terminations and run in and INCLUDING NEW ducts</v>
          </cell>
        </row>
        <row r="93">
          <cell r="B93" t="str">
            <v>Multi core Control Cables from ODJB to control / relay room - average length 150 metres includes earth of sheath, cable terminations and run in and INCLUDING NEW ducts</v>
          </cell>
        </row>
        <row r="94">
          <cell r="B94" t="str">
            <v>ODJB, Marshalling boxes etc complete with all low voltage supplies, concrete foundations and steel stands</v>
          </cell>
        </row>
        <row r="95">
          <cell r="B95" t="str">
            <v>ODJB, Marshalling boxes etc complete with all low voltage supplies, fixed to existing structures</v>
          </cell>
        </row>
        <row r="96">
          <cell r="B96" t="str">
            <v>110 Volt DC Battery bank  220 ampere EXCLUDES stands (Stations)</v>
          </cell>
        </row>
        <row r="97">
          <cell r="B97" t="str">
            <v>110 Volt DC Battery bank stands</v>
          </cell>
        </row>
        <row r="98">
          <cell r="B98" t="str">
            <v>110 v DC Battery Charger (Stations) Benning 20 Amp, including wall mounted cabinet</v>
          </cell>
        </row>
        <row r="99">
          <cell r="B99" t="str">
            <v>110 v DC Battery Charger (Stations) Benning 50 Amp, including wall mounted cabinet</v>
          </cell>
        </row>
        <row r="100">
          <cell r="B100" t="str">
            <v>110 v DC Battery Charger (Stations) M &amp; H 20 Amp, including wall mounted cabinet</v>
          </cell>
        </row>
        <row r="101">
          <cell r="B101" t="str">
            <v>110 VDC Distribution System complete with cabinets, fuses and distribution cabling</v>
          </cell>
        </row>
        <row r="102">
          <cell r="B102" t="str">
            <v>Station lighting based on 6 poles and lights structures (includes lights)</v>
          </cell>
        </row>
        <row r="103">
          <cell r="B103" t="str">
            <v>415  AC V power cables, includes earth of sheath, cable terminations and run in existing ducts (based on run length of apprximately 100m)</v>
          </cell>
        </row>
        <row r="104">
          <cell r="B104" t="str">
            <v>415  AC V power cables, includes earth of sheath, cable terminations and run in existing ducts (based on run length of apprximately 100m)</v>
          </cell>
        </row>
        <row r="105">
          <cell r="B105" t="str">
            <v>Local Service Distribution boards</v>
          </cell>
        </row>
        <row r="106">
          <cell r="B106" t="str">
            <v>Local Service Distribution system</v>
          </cell>
        </row>
        <row r="107">
          <cell r="B107" t="str">
            <v>Local Service TX 33 kV /415V 200KVA,  including conenction to Local Service distribution network, excludes foundations</v>
          </cell>
        </row>
        <row r="108">
          <cell r="B108" t="str">
            <v>Local Service TX 11 kV /415V 200KVA,  including conenction to Local Service distribution network, excludes foundations</v>
          </cell>
        </row>
        <row r="109">
          <cell r="B109" t="str">
            <v>Local Service TX 11 kV /415V 200KVA,  including conenction to Local Service distribution network, excludes foundations</v>
          </cell>
        </row>
        <row r="110">
          <cell r="B110" t="str">
            <v>Local Service TX 11 kV /415V 100KVA,  including conenction to Local Service distribution network, excludes foundations</v>
          </cell>
        </row>
        <row r="111">
          <cell r="B111" t="str">
            <v>Local Service TX foundations</v>
          </cell>
        </row>
        <row r="112">
          <cell r="B112" t="str">
            <v>Test Equipment</v>
          </cell>
        </row>
        <row r="113">
          <cell r="B113" t="str">
            <v>Moveable Plant (SF6 gas carts, etc)</v>
          </cell>
        </row>
        <row r="114">
          <cell r="B114" t="str">
            <v>Line matching unit to EB TYPE ZGBR00101.two phase pair – or modern equivalent</v>
          </cell>
        </row>
        <row r="115">
          <cell r="B115" t="str">
            <v>Tuning pack to suit 200 amp line trap (Trench)</v>
          </cell>
        </row>
        <row r="116">
          <cell r="B116" t="str">
            <v>Power Line Carrier</v>
          </cell>
        </row>
        <row r="119">
          <cell r="B119" t="str">
            <v>Blank Code Used as place filler</v>
          </cell>
        </row>
        <row r="120">
          <cell r="B120" t="str">
            <v>Building shell,complete withcable basement, raised concrete floor, including all lighting, security, excludes airconditioning and water and sewer systems (use for Switchbds other than  GIS)</v>
          </cell>
        </row>
        <row r="121">
          <cell r="B121" t="str">
            <v>Building shell, concrete floor on grade,including all lighting, security, excludes airconditioning and water and sewer systems (use for GIS Switchbds - thes require higher cable basement)</v>
          </cell>
        </row>
        <row r="122">
          <cell r="B122" t="str">
            <v>Cranes, lifting equipment (if required)</v>
          </cell>
        </row>
        <row r="123">
          <cell r="B123" t="str">
            <v>Doors and Windows</v>
          </cell>
        </row>
        <row r="124">
          <cell r="B124" t="str">
            <v>Fire Alarms</v>
          </cell>
        </row>
        <row r="125">
          <cell r="B125" t="str">
            <v>Building Lighting</v>
          </cell>
        </row>
        <row r="126">
          <cell r="B126" t="str">
            <v>Sewerage and waste water disposal (including stormwater)</v>
          </cell>
        </row>
        <row r="127">
          <cell r="B127" t="str">
            <v>Water supplies</v>
          </cell>
        </row>
        <row r="130">
          <cell r="B130" t="str">
            <v>Bridges Culverts</v>
          </cell>
        </row>
        <row r="131">
          <cell r="B131" t="str">
            <v>Oil containment bunding to equipment</v>
          </cell>
        </row>
        <row r="132">
          <cell r="B132" t="str">
            <v>Strip top soil from site average 300mm thick, stock pile for future use or disposal off site</v>
          </cell>
        </row>
        <row r="133">
          <cell r="B133" t="str">
            <v>Bulk earthworks (Bulk excavation down to formation level -average 1.0m deep, fill up to base level 500mm of fill, but excludes final switchyard metalling)</v>
          </cell>
        </row>
        <row r="134">
          <cell r="B134" t="str">
            <v>Drainage</v>
          </cell>
        </row>
        <row r="135">
          <cell r="B135" t="str">
            <v>Cable Trench or Duct 1200 mm wide, 800mm deep, includes excavation, duct covers</v>
          </cell>
        </row>
        <row r="136">
          <cell r="B136" t="str">
            <v>Standard stock fence</v>
          </cell>
        </row>
        <row r="137">
          <cell r="B137" t="str">
            <v>Standard Security  fence, 2.6 metre high with 2.0 metre high galvanized wire mesh, including concrete nib wall </v>
          </cell>
        </row>
        <row r="138">
          <cell r="B138" t="str">
            <v>Standard Security and Power fence, 2.6 metre high with 2.4 metre high galvanized wire mesh, 28 wire power fence, including concrete nib wall </v>
          </cell>
        </row>
        <row r="139">
          <cell r="B139" t="str">
            <v>Medium Security  fence, 3.0 metre high with 2.4 metre high galvanized wire mesh, including concrete nib wall </v>
          </cell>
        </row>
        <row r="140">
          <cell r="B140" t="str">
            <v>Medium Securityand Power fence, 3.0 metre high with 2.4 metre high galvanized wire mesh, 32 wire power fence,  includiung concrete nib wall </v>
          </cell>
        </row>
        <row r="141">
          <cell r="B141" t="str">
            <v>4 metre wide vehicle gate in standard security fence.(2.6 m high)</v>
          </cell>
        </row>
        <row r="142">
          <cell r="B142" t="str">
            <v>4 metre wide vehicle gate in Medium security fence. (3.0 m high)</v>
          </cell>
        </row>
        <row r="143">
          <cell r="B143" t="str">
            <v>Personnel access gate in standard security fence.(2.6 m high)</v>
          </cell>
        </row>
        <row r="144">
          <cell r="B144" t="str">
            <v>Personnel access gate in Medium security fence (3.0 m high)</v>
          </cell>
        </row>
        <row r="145">
          <cell r="B145" t="str">
            <v>Power controller for vermin control power fence (Gallagher M400 )</v>
          </cell>
        </row>
        <row r="146">
          <cell r="B146" t="str">
            <v>Power controller for vermin control power fence (Gallagher M400 )</v>
          </cell>
        </row>
        <row r="147">
          <cell r="B147" t="str">
            <v>Fire detection system in switchyard</v>
          </cell>
        </row>
        <row r="148">
          <cell r="B148" t="str">
            <v>Fire protection system in switchyard</v>
          </cell>
        </row>
        <row r="149">
          <cell r="B149" t="str">
            <v>Station lighting system including poles, wiring, controls and light units</v>
          </cell>
        </row>
        <row r="150">
          <cell r="B150" t="str">
            <v>Roads (based on 5m wide x 0.3m thick basecourse, asphalt surface, concrete kerb and channel</v>
          </cell>
        </row>
        <row r="151">
          <cell r="B151" t="str">
            <v>Sewerage and waste water disposal (including stormwater)</v>
          </cell>
        </row>
        <row r="152">
          <cell r="B152" t="str">
            <v>Switchyard Earth grid - based on a 5 x 5m grid with 50 x 4m copper strap with Cadweld joints at intersections, EXCLUDES connections to equipment and fences</v>
          </cell>
        </row>
        <row r="153">
          <cell r="B153" t="str">
            <v>Switchyard Earth grid - based on a 3 x 3 m grid with 50 x 4m copper strap with Cadweld joints at intersections, EXCLUDES connections to equipment and fences</v>
          </cell>
        </row>
        <row r="154">
          <cell r="B154" t="str">
            <v>Crushed rock  (to TP.PS 52.04) laid to a minimum depth of 125 mm and a maximum depth of 150 mm (Top layer of switchyard)</v>
          </cell>
        </row>
        <row r="155">
          <cell r="B155" t="str">
            <v>Temporary Buildings</v>
          </cell>
        </row>
        <row r="156">
          <cell r="B156" t="str">
            <v>Oil Containment tanks/separators based on 30,000 capcaity (excludes bunding)</v>
          </cell>
        </row>
        <row r="157">
          <cell r="B157" t="str">
            <v>Water Supply</v>
          </cell>
        </row>
        <row r="158">
          <cell r="B158" t="str">
            <v>Switchyard Flood light standard approximately 8.5 m high complete with foundations, cross arm, two Sonpak OT250 floodlight and accessories including circuit to control room (av length 50m) Includes connection to the earth grid</v>
          </cell>
        </row>
        <row r="159">
          <cell r="B159" t="str">
            <v>Switchyard Lightning Tower 13.4 m high complete with foundations lightning rod to top of tower and includes connection to the earth grid</v>
          </cell>
        </row>
        <row r="163">
          <cell r="B163" t="str">
            <v>Blank Code Used as place filler</v>
          </cell>
        </row>
        <row r="164">
          <cell r="B164" t="str">
            <v>11 kV Bus Insulator support structure for buswork includes foundations and connection to earth grid</v>
          </cell>
        </row>
        <row r="165">
          <cell r="B165" t="str">
            <v>11 kV Bus insulators</v>
          </cell>
        </row>
        <row r="166">
          <cell r="B166" t="str">
            <v>11 kV cables  Pothead, fabricated from 125 x 65 Channel, 125 x 125 x 5 RHS (all galvanised), includes 33 kV Surge Arrester, 33 kV insulator, link between insulator and surge arrester</v>
          </cell>
        </row>
        <row r="167">
          <cell r="B167" t="str">
            <v>11 kV Steel Gantry and girder 8.7m high 15m wide (girder approx 8.7m above gnd)consisting of 813mm OD poles (8m high), 457 OD upper section (5m high) and girder (Same as 220kV gantry)</v>
          </cell>
        </row>
        <row r="168">
          <cell r="B168" t="str">
            <v>11 kV Rigid Bus 100/ 6.5 Aluminium tube including clamps terminals etc</v>
          </cell>
        </row>
        <row r="169">
          <cell r="B169" t="str">
            <v>11 kV cables  300 mm²  AL XLPE direct bured one cable per phase</v>
          </cell>
        </row>
        <row r="170">
          <cell r="B170" t="str">
            <v>11 kV cables  400 mm²  AL XLPE direct bured one cable per phase</v>
          </cell>
        </row>
        <row r="171">
          <cell r="B171" t="str">
            <v>11 kV cables  500 mm²  AL XLPE direct bured one cable per phase</v>
          </cell>
        </row>
        <row r="172">
          <cell r="B172" t="str">
            <v>11 kV cables  630 mm²  AL XLPE direct bured one cable per phase</v>
          </cell>
        </row>
        <row r="173">
          <cell r="B173" t="str">
            <v>11 kV cables  800 mm²  AL XLPE direct bured one cable per phase</v>
          </cell>
        </row>
        <row r="174">
          <cell r="B174" t="str">
            <v>11 kV cables  1200 mm²  AL XLPE direct bured one cable per phase</v>
          </cell>
        </row>
        <row r="175">
          <cell r="B175" t="str">
            <v>11 kV cables  single core 300 mm2 copper  XLPE direct bured one cable per phase</v>
          </cell>
        </row>
        <row r="176">
          <cell r="B176" t="str">
            <v>11 kV cables  single core 400 mm2  copper XLPE direct bured one cable per phase</v>
          </cell>
        </row>
        <row r="177">
          <cell r="B177" t="str">
            <v>11 kV cables  single core 500 mm2 copper  XLPE direct bured one cable per phase</v>
          </cell>
        </row>
        <row r="178">
          <cell r="B178" t="str">
            <v>11 kV cables  single core 630 mm2  copper XLPE direct bured one cable per phase</v>
          </cell>
        </row>
        <row r="179">
          <cell r="B179" t="str">
            <v>11 kV cables  single core 630 mm2 copper  XLPE  direct bured   (2 cables per phase)</v>
          </cell>
        </row>
        <row r="180">
          <cell r="B180" t="str">
            <v>11 kV cables  single core 630 mm2  copper XLPE  direct bured   (3 cables per  phase)</v>
          </cell>
        </row>
        <row r="181">
          <cell r="B181" t="str">
            <v>11 kV cables  single core 630 mm2  copper XLPE  direct bured   (4 cables per  phase)</v>
          </cell>
        </row>
        <row r="182">
          <cell r="B182" t="str">
            <v>11 kV cable  terminations - Pfisterer type  Outdoor (per cable)</v>
          </cell>
        </row>
        <row r="183">
          <cell r="B183" t="str">
            <v>11 kV cable  terminations - Pfisterer type  Indoor (per cable)</v>
          </cell>
        </row>
        <row r="184">
          <cell r="B184" t="str">
            <v>11 kV cable  terminations Indoors (Raychem type joints per cable)</v>
          </cell>
        </row>
        <row r="185">
          <cell r="B185" t="str">
            <v>11 kV cable termination outdoor (Raychem type joints per cable) </v>
          </cell>
        </row>
        <row r="186">
          <cell r="B186" t="str">
            <v>11 kV cables  single core 400 mm2 copper  XLPE  in cable ducts or trenches  per phase</v>
          </cell>
        </row>
        <row r="187">
          <cell r="B187" t="str">
            <v>11 kV cables  single core 630 mm2 XLPE  in cable ducts or trenches  per phase</v>
          </cell>
        </row>
        <row r="188">
          <cell r="B188" t="str">
            <v>11 kV 30Mvar capacitor bank complete with unbalanced CT, stands, cabling etc</v>
          </cell>
        </row>
        <row r="189">
          <cell r="B189" t="str">
            <v>11 kV Outdoor Recloser 400amp (Cooper power KFME) Includes support structure and foundations</v>
          </cell>
        </row>
        <row r="190">
          <cell r="B190" t="str">
            <v>11 kV GIS  Indoor Circuit Breaker  630 amp ( Reyrolle LMVP) includes supposts, fastenings, interconnectign cables</v>
          </cell>
        </row>
        <row r="191">
          <cell r="B191" t="str">
            <v>11 kV GIS  Indoor Circuit Breaker 2000 amp( Reyrolle LMVP)  includes supposts, fastenings, interconnectign cables</v>
          </cell>
        </row>
        <row r="192">
          <cell r="B192" t="str">
            <v>11 kV GIS  Indoor Circuit Breaker 1250 amp( Reyrolle LMVP)  includes supposts, fastenings, interconnectign cables</v>
          </cell>
        </row>
        <row r="193">
          <cell r="B193" t="str">
            <v>11 kV GIS  Indoor Circuit Breaker 2500 amp( Reyrolle LMVP)  includes supposts, fastenings, interconnectign cables</v>
          </cell>
        </row>
        <row r="194">
          <cell r="B194" t="str">
            <v>11 kV  GIS Outdoor Circuit Breaker 3150 amp( Schneider SF2) - Custom price based on BRY cap bank</v>
          </cell>
        </row>
        <row r="195">
          <cell r="B195" t="str">
            <v>11 kV  GIS Outdoor Circuit Breaker 1600 amp( Schneider SF2) Custom price based on BRY cap bank</v>
          </cell>
        </row>
        <row r="196">
          <cell r="B196" t="str">
            <v>11 kV Current Transformers, four core, 1250 A, THREE  phase set, stands, Class 0.2, ratio 800/400/200/1</v>
          </cell>
        </row>
        <row r="197">
          <cell r="B197" t="str">
            <v>11 kV Current Transformers, four core, 2500 A, THREE phase set, stands, Class 0.2, ratio 800/400/200/1</v>
          </cell>
        </row>
        <row r="198">
          <cell r="B198" t="str">
            <v>11 kV 2000 A Disconnector - Double break,centre rotating (33kV unit used in 11 kV cap bank) Areva </v>
          </cell>
        </row>
        <row r="199">
          <cell r="B199" t="str">
            <v>11 kV 800 A Disconnector - Double break,centre rotating (Areva)</v>
          </cell>
        </row>
        <row r="200">
          <cell r="B200" t="str">
            <v>11 kV 1200 A Disconnector - Double break,centre rotating (Areva)</v>
          </cell>
        </row>
        <row r="201">
          <cell r="B201" t="str">
            <v>11 kV 1200 A Disconnector - Double break,centre rotating (Schneider)</v>
          </cell>
        </row>
        <row r="202">
          <cell r="B202" t="str">
            <v>11 kV 2400 A Disconnector - Double break,centre rotating (Areva)</v>
          </cell>
        </row>
        <row r="203">
          <cell r="B203" t="str">
            <v>11 kV Earth Switch 800 amp? (Areva)</v>
          </cell>
        </row>
        <row r="204">
          <cell r="B204" t="str">
            <v>11 kV Single Core Neutral Current Transformer (NCT) 1250 A, THREE phase set, stands, Class PX, ratio 800/400/200/1 includes stands, foundations, etc</v>
          </cell>
        </row>
        <row r="205">
          <cell r="B205" t="str">
            <v>11 kV Single Core Neutral Current Transformer (NCT) 1250 A, THREE phase set, stands, Class PX, ratio 800/400/200/1 includes stands, foundations, etc</v>
          </cell>
        </row>
        <row r="206">
          <cell r="B206" t="str">
            <v>11 kV two Core Neutral Current Transformer (NCT) 2500 A, THREE phase set, stands, Class PX, ratio 800/400/200/1 includes stands, foundations, etc</v>
          </cell>
        </row>
        <row r="207">
          <cell r="B207" t="str">
            <v>11 kV (cont'd)</v>
          </cell>
        </row>
        <row r="208">
          <cell r="B208" t="str">
            <v>11 kV two Core Neutral Current Transformer (NCT) 2500 A, THREE phase set, stands, Class PX, ratio 800/400/200/1 includes stands, foundations, etc</v>
          </cell>
        </row>
        <row r="209">
          <cell r="B209" t="str">
            <v>11 kV Neutral Earthing Resistors (NER)s  includes stands, foundations, etc</v>
          </cell>
        </row>
        <row r="210">
          <cell r="B210" t="str">
            <v>11 kV  Reactor 2200MVAr, Trench CLR 6 Series Reactors 3 x single phase, air insulated includes foundations support structure, insulators and interconecting cables</v>
          </cell>
        </row>
        <row r="211">
          <cell r="B211" t="str">
            <v>11 kV  Reactor for 30Mvar capacitor bank, complete with stands, foundations and connection to Cap bank.</v>
          </cell>
        </row>
        <row r="212">
          <cell r="B212" t="str">
            <v>11 kV  Reactor 2800MVAr, Trench CLR 6 Series Reactors 3 x single phase, air insulated includes foundations support structure, insulators and interconecting cables</v>
          </cell>
        </row>
        <row r="213">
          <cell r="B213" t="str">
            <v>Foundations for 11 kV  Circuit Breakers- includes support stands and insulators</v>
          </cell>
        </row>
        <row r="214">
          <cell r="B214" t="str">
            <v>Foundations for 11 kV  Disconnector - includes support stands and insulators</v>
          </cell>
        </row>
        <row r="215">
          <cell r="B215" t="str">
            <v>Foundations for 11 kV  Circuit Breakers- EXCLUDES support stands and insulators</v>
          </cell>
        </row>
        <row r="216">
          <cell r="B216" t="str">
            <v>Foundations for 11 kV  Disconnector - EXCLUDES support stands and insulators</v>
          </cell>
        </row>
        <row r="217">
          <cell r="B217" t="str">
            <v>11 kV 5 limb Voltage Transformer  2500 A, THREE phase set,  Class 0.2/3P,  includes stands, etc</v>
          </cell>
        </row>
        <row r="218">
          <cell r="B218" t="str">
            <v>11 kV  Voltage Transformer  2500 A,  3 x single phase unit,  Class 0.2/3P,  includes stands,  etc</v>
          </cell>
        </row>
        <row r="221">
          <cell r="B221" t="str">
            <v>Blank Code Used as place filler</v>
          </cell>
        </row>
        <row r="222">
          <cell r="B222" t="str">
            <v>33 kV Bus Insulator support structure for buswork</v>
          </cell>
        </row>
        <row r="223">
          <cell r="B223" t="str">
            <v>33 kV Bus insulators</v>
          </cell>
        </row>
        <row r="224">
          <cell r="B224" t="str">
            <v>33 kV Rigid Bus</v>
          </cell>
        </row>
        <row r="225">
          <cell r="B225" t="str">
            <v>33 kV Steel Gantry and girder 8.7m high 15m wide (girder approx 8.7m above gnd)consisting of 813mm OD poles (8m high), 457 OD upper section (5m high) and girder (Same as 220kV gantry)</v>
          </cell>
        </row>
        <row r="226">
          <cell r="B226" t="str">
            <v>33 kV cables  Pothead, fabricated from 125 x 65 Channel, 125 x 125 x 5 RHS (all galvanised), includes 33 kV Surge Arrester, 33 kV insulator, link between insulator and surge arrester</v>
          </cell>
        </row>
        <row r="227">
          <cell r="B227" t="str">
            <v>33 kV cables  300 mm²  AL XLPE direct bured one cable per phase</v>
          </cell>
        </row>
        <row r="228">
          <cell r="B228" t="str">
            <v>33 kV cables  400 mm²  AL XLPE direct bured one cable per phase</v>
          </cell>
        </row>
        <row r="229">
          <cell r="B229" t="str">
            <v>33 kV cables  500 mm²  AL XLPE direct bured one cable per phase</v>
          </cell>
        </row>
        <row r="230">
          <cell r="B230" t="str">
            <v>33 kV cables  630 mm²  AL XLPE direct bured one cable per phase</v>
          </cell>
        </row>
        <row r="231">
          <cell r="B231" t="str">
            <v>33 kV cables  800 mm²  AL XLPE direct bured one cable per phase</v>
          </cell>
        </row>
        <row r="232">
          <cell r="B232" t="str">
            <v>33 kV cables  1200 mm²  AL XLPE direct bured one cable per phase</v>
          </cell>
        </row>
        <row r="233">
          <cell r="B233" t="str">
            <v>33 kV cables  single core 300 mm2 copper  XLPE direct bured one cable per phase</v>
          </cell>
        </row>
        <row r="234">
          <cell r="B234" t="str">
            <v>33 kV cables  single core 400 mm2  copper XLPE direct bured one cable per phase</v>
          </cell>
        </row>
        <row r="235">
          <cell r="B235" t="str">
            <v>33 kV cables  single core 500 mm2 copper  XLPE direct bured one cable per phase</v>
          </cell>
        </row>
        <row r="236">
          <cell r="B236" t="str">
            <v>33 kV cables  single core 630 mm2  copper XLPE direct bured one cable per phase</v>
          </cell>
        </row>
        <row r="237">
          <cell r="B237" t="str">
            <v>33 kV cables  single core 630 mm2 copper  XLPE  direct bured   (2 cables per phase)</v>
          </cell>
        </row>
        <row r="238">
          <cell r="B238" t="str">
            <v>33 kV cables  single core 630 mm2  copper XLPE  direct bured   (3 cables per  phase)</v>
          </cell>
        </row>
        <row r="239">
          <cell r="B239" t="str">
            <v>33 kV cables  single core 630 mm2  copper XLPE  direct bured   (4 cables per  phase)</v>
          </cell>
        </row>
        <row r="240">
          <cell r="B240" t="str">
            <v>33 kV cables  300 mm2  AL XLPE direct bured</v>
          </cell>
        </row>
        <row r="241">
          <cell r="B241" t="str">
            <v>33 kV cables  single core copper 400 mm2 XLPE direct bured</v>
          </cell>
        </row>
        <row r="242">
          <cell r="B242" t="str">
            <v>33 kV cables  single core copper 500 mm2 XLPE direct bured</v>
          </cell>
        </row>
        <row r="243">
          <cell r="B243" t="str">
            <v>33 kV cables  single core copper  630 mm2 XLPE  direct bured</v>
          </cell>
        </row>
        <row r="244">
          <cell r="B244" t="str">
            <v>33 kV cables  single core copper  630 mm2 XLPE  direct bured   (3 cables per  phase)</v>
          </cell>
        </row>
        <row r="245">
          <cell r="B245" t="str">
            <v>33 kV cables  single core copper 400 mm2 XLPE  in cable ducts (see CWKS for Ducts)</v>
          </cell>
        </row>
        <row r="246">
          <cell r="B246" t="str">
            <v>33 kV cables  single core copper 630 mm2 XLPE  in cable ducts (see CWKS for Ducts)</v>
          </cell>
        </row>
        <row r="247">
          <cell r="B247" t="str">
            <v>33 kV cable  terminations - Pfisterer type indoor (per cable)</v>
          </cell>
        </row>
        <row r="248">
          <cell r="B248" t="str">
            <v>33 kV cable  terminations - Pfisterer type outdoor (per cable)</v>
          </cell>
        </row>
        <row r="249">
          <cell r="B249" t="str">
            <v>33 kV cable terminations Indoors (Raychem type joints per cable) </v>
          </cell>
        </row>
        <row r="250">
          <cell r="B250" t="str">
            <v>33 kV cable termination outdoor (Raychem type joints per cable)  </v>
          </cell>
        </row>
        <row r="251">
          <cell r="B251" t="str">
            <v>33 kV Circuit Breaker, 600-1250 Amp Indoor, Gas Insulated, Areva,(use BDG_ALLARE building rate for Sw room) - </v>
          </cell>
        </row>
        <row r="252">
          <cell r="B252" t="str">
            <v>33 kV Circuit Breaker, 600-1250 Amp Indoor, Gas Insulated, (use BDG_ALLOTH  building rate for Sw room) - </v>
          </cell>
        </row>
        <row r="253">
          <cell r="B253" t="str">
            <v>33 kV Circuit Breaker,1250 Amp Outdoor, dog box, Schnieder</v>
          </cell>
        </row>
        <row r="254">
          <cell r="B254" t="str">
            <v>33 kV Circuit Breaker,1250 Amp Outdoor, Dead tank, Gas Insulated</v>
          </cell>
        </row>
        <row r="255">
          <cell r="B255" t="str">
            <v>33 kV Current Transformer 1250 A 25KA 5 core (THREE phase set)</v>
          </cell>
        </row>
        <row r="256">
          <cell r="B256" t="str">
            <v>33 kV Current Transformer 2500 A 25KA 5 core (THREE phase set)</v>
          </cell>
        </row>
        <row r="257">
          <cell r="B257" t="str">
            <v>33 kV Disconnector 800 A  - Double break,centre rotating ( Canteng IRW or similar)</v>
          </cell>
        </row>
        <row r="258">
          <cell r="B258" t="str">
            <v>33 kV Disconnector 1200 A  - Double break,centre rotating ( Canteng IRW or similar)</v>
          </cell>
        </row>
        <row r="259">
          <cell r="B259" t="str">
            <v>33 kV Disconnector 2400 A  - Double break,centre rotating ( Canteng IRW or similar)</v>
          </cell>
        </row>
        <row r="260">
          <cell r="B260" t="str">
            <v>33  kV Earth Switch1600A  (Canterbury Engineering/Areva)</v>
          </cell>
        </row>
        <row r="261">
          <cell r="B261" t="str">
            <v>Local Service TX foundations</v>
          </cell>
        </row>
        <row r="262">
          <cell r="B262" t="str">
            <v>33kV /415V Local Service TX 100 KVA</v>
          </cell>
        </row>
        <row r="263">
          <cell r="B263" t="str">
            <v>33kV /415V Local Service TX 200 KVA</v>
          </cell>
        </row>
        <row r="264">
          <cell r="B264" t="str">
            <v>33  kV Neutral Current Transformer 1250 A   including stands Class PX ratio 2400/1200/600/1</v>
          </cell>
        </row>
        <row r="265">
          <cell r="B265" t="str">
            <v>33  kV Neutral Current Transformer 800 A 3 phase set including stands Class PX ratio 800/500/200/1</v>
          </cell>
        </row>
        <row r="266">
          <cell r="B266" t="str">
            <v>33kVNeutral Current Transformer 800 A 3 phase set including stands Class X ratio  500/200/1  </v>
          </cell>
        </row>
        <row r="267">
          <cell r="B267" t="str">
            <v>33  kV Neutral Earthing Resistors (NER)s 38 ohm includes foundations</v>
          </cell>
        </row>
        <row r="268">
          <cell r="B268" t="str">
            <v>33  kV Neutral Earthing Resistors (NER)s  5 ohm , 50A including  NCT and foundations</v>
          </cell>
        </row>
        <row r="269">
          <cell r="B269" t="str">
            <v>33  kV Neutral Earthing Resistors (NER)s  110 Ohm , 15A including  NCT and foundations</v>
          </cell>
        </row>
        <row r="270">
          <cell r="B270" t="str">
            <v>33 kV  Reactor 2800MVAr, Trench CLR 6 Series Reactors 3 x single phase, air insulated includes foundations support structure, insulators and interconecting cables</v>
          </cell>
        </row>
        <row r="271">
          <cell r="B271" t="str">
            <v>33 kV  Surge Arresters &amp; Surge Diverters (three phase set), 26.3 kA, 170 kV ABB EXLIM Q33 xH36.</v>
          </cell>
        </row>
        <row r="272">
          <cell r="B272" t="str">
            <v>Foundation work for 33 GIS CB (Outdoor) (includes stands)</v>
          </cell>
        </row>
        <row r="274">
          <cell r="B274" t="str">
            <v>Foundation work for 33 GIS CB (Outdoor) Excludes stands</v>
          </cell>
        </row>
        <row r="275">
          <cell r="B275" t="str">
            <v>Foundation work for 33 kV CB (Outdoor) DS, CT's etc  EXCLUDES stands</v>
          </cell>
        </row>
        <row r="276">
          <cell r="B276" t="str">
            <v>Foundations for reactors EXCLUDES stands</v>
          </cell>
        </row>
        <row r="277">
          <cell r="B277" t="str">
            <v>foundation for three phase set - CT,  NCT's and VT's includes  stands</v>
          </cell>
        </row>
        <row r="278">
          <cell r="B278" t="str">
            <v>Foundations for 33 kV bus concrete post insulator support</v>
          </cell>
        </row>
        <row r="279">
          <cell r="B279" t="str">
            <v>33 kV Steel tower  </v>
          </cell>
        </row>
        <row r="280">
          <cell r="B280" t="str">
            <v>33 kV (cont'd)</v>
          </cell>
        </row>
        <row r="281">
          <cell r="B281" t="str">
            <v>33 kV Transformer foundations supply and erect</v>
          </cell>
        </row>
        <row r="282">
          <cell r="B282" t="str">
            <v>33  kV Voltage Transformer SINGLE phase unit  Class 0.2/3P 30VA</v>
          </cell>
        </row>
        <row r="283">
          <cell r="B283" t="str">
            <v>33 kV 5 limb Voltage Transformer  2500 A, THREE phase set,  Class 0.2/3P,  includes stands, etc</v>
          </cell>
        </row>
        <row r="284">
          <cell r="B284" t="str">
            <v>33 kV 5 limb Voltage Transformer  2500 A, THREE phase set,  Class 0.2/3P,  includes stands, etc</v>
          </cell>
        </row>
        <row r="288">
          <cell r="B288" t="str">
            <v>Blank Code Used as place filler</v>
          </cell>
        </row>
        <row r="289">
          <cell r="B289" t="str">
            <v>66 kV Bus Insulator support structure for buswork</v>
          </cell>
        </row>
        <row r="290">
          <cell r="B290" t="str">
            <v>66 kV Bus insulators</v>
          </cell>
        </row>
        <row r="291">
          <cell r="B291" t="str">
            <v>66 kV Aluminium Gantry Girder</v>
          </cell>
        </row>
        <row r="292">
          <cell r="B292" t="str">
            <v>66 kV Aluminium Tower</v>
          </cell>
        </row>
        <row r="293">
          <cell r="B293" t="str">
            <v>66 kV concrete pole 6 metres high</v>
          </cell>
        </row>
        <row r="294">
          <cell r="B294" t="str">
            <v>66 kV Rigid Bus  bay length 10.8m, steel insulator posts 3.1m high, 110kV insulators, 50mm dia alloy bus, twin butterfly flexible and fittings at one end</v>
          </cell>
        </row>
        <row r="295">
          <cell r="B295" t="str">
            <v>66 kV Steel Gantry and girder 8.7m high 15m wide (girder approx 8.7m above gnd)consisting of 813mm OD poles (8m high), 457 OD upper section (5m high) and girder (Same as 220kV gantry)</v>
          </cell>
        </row>
        <row r="296">
          <cell r="B296" t="str">
            <v>66 kV Steel Gantry Girder 3 metres wide</v>
          </cell>
        </row>
        <row r="297">
          <cell r="B297" t="str">
            <v>66 kV Steel tower  7 metres high</v>
          </cell>
        </row>
        <row r="298">
          <cell r="B298" t="str">
            <v>66 kV Strung Bus </v>
          </cell>
        </row>
        <row r="299">
          <cell r="B299" t="str">
            <v>66 kV Bus insulators for new "T" structure</v>
          </cell>
        </row>
        <row r="300">
          <cell r="B300" t="str">
            <v>66 kV steel "T" tower , includes single steel upright and cross beam.</v>
          </cell>
        </row>
        <row r="301">
          <cell r="B301" t="str">
            <v>66 kV Bus concrete support structure for buswork includes insulators, clamps, conductor, etc</v>
          </cell>
        </row>
        <row r="302">
          <cell r="B302" t="str">
            <v>66 kV Bus concrete support structure for buswork includes insulators, clamps, conductor, etc</v>
          </cell>
        </row>
        <row r="303">
          <cell r="B303" t="str">
            <v>66 kV cables  Pothead, fabricated from 125 x 65 Channel, 125 x 125 x 5 RHS (all galvanised), includes 66 kV Surge Arrester, 66 kV insulator, link between insulator and surge arrester (three phase set )</v>
          </cell>
        </row>
        <row r="304">
          <cell r="B304" t="str">
            <v>66 kV 2000 Amp Gas Insulated Circuit Breaker Live Tank, 31.5 kA </v>
          </cell>
        </row>
        <row r="305">
          <cell r="B305" t="str">
            <v>66 kV 2500 Amp Gas Insulated Circuit Breaker Live Tank, 31.5 kA </v>
          </cell>
        </row>
        <row r="306">
          <cell r="B306" t="str">
            <v>66 kV 2500 Amp Gas Insulated Circuit Breaker Dead Tank, 31.5 kA complete with CT's and stands</v>
          </cell>
        </row>
        <row r="307">
          <cell r="B307" t="str">
            <v>66 kV 2500 Amp Gas Insulated Circuit Breaker Dead Tank, 31.5 kA complete with CT's and stands</v>
          </cell>
        </row>
        <row r="308">
          <cell r="B308" t="str">
            <v>66 kV 3000 Amp Gas Insulated Circuit Breaker Live Tank, 31.5 kA </v>
          </cell>
        </row>
        <row r="309">
          <cell r="B309" t="str">
            <v>66 kV CVT SINGLE  phase10,000pF ,</v>
          </cell>
        </row>
        <row r="310">
          <cell r="B310" t="str">
            <v>66 kV Current Transformer five core THREE phase unit1200 A 25 kA 5 core (Arteche) Class PX</v>
          </cell>
        </row>
        <row r="311">
          <cell r="B311" t="str">
            <v>66 kV  THREE phase 5 core 1440 A Current Transformer (Nissin) Class 0.2</v>
          </cell>
        </row>
        <row r="312">
          <cell r="B312" t="str">
            <v>66 kV 800 A Disconnector - Double break,centre rotating (Areva)</v>
          </cell>
        </row>
        <row r="313">
          <cell r="B313" t="str">
            <v>66 kV  2500A Disconnector - vertical break refurbishment</v>
          </cell>
        </row>
        <row r="314">
          <cell r="B314" t="str">
            <v>66 kV   3150 Disconnector - Double break refurbishment</v>
          </cell>
        </row>
        <row r="315">
          <cell r="B315" t="str">
            <v>66 kV 800 A  Single side break combined Disconnector and Earth Switch (Areva)</v>
          </cell>
        </row>
        <row r="316">
          <cell r="B316" t="str">
            <v>66 kV  1600 A ground mounted (Upright) Disconnector (IDB/K)</v>
          </cell>
        </row>
        <row r="317">
          <cell r="B317" t="str">
            <v>66 kV  2000 A ground mounted (Upright) Disconnector (IDB/K)</v>
          </cell>
        </row>
        <row r="318">
          <cell r="B318" t="str">
            <v>66 kV 800 A  Disconnector - Single side break</v>
          </cell>
        </row>
        <row r="319">
          <cell r="B319" t="str">
            <v>66 kV Earth Switch (Areva)</v>
          </cell>
        </row>
        <row r="320">
          <cell r="B320" t="str">
            <v>Filter banks</v>
          </cell>
        </row>
        <row r="321">
          <cell r="B321" t="str">
            <v>66 kV Line Traps 800 amp (Ex inventory - nil value)  supply of new tuning packs included in TP material price </v>
          </cell>
        </row>
        <row r="322">
          <cell r="B322" t="str">
            <v>66 kV Line Traps 800 amp (Ex inventory - nil value)  supply of new tuning packs included in TP material price </v>
          </cell>
        </row>
        <row r="323">
          <cell r="B323" t="str">
            <v>66 kV Line Traps 800 amp (Ex inventory - nil value)  supply of new tuning packs included in TP material price </v>
          </cell>
        </row>
        <row r="324">
          <cell r="B324" t="str">
            <v>Local Service Transformer  66kV /415V  100KVA</v>
          </cell>
        </row>
        <row r="325">
          <cell r="B325" t="str">
            <v>66 kV 1200 A Neutral Current Transformer 2 core  Class PX 25 kA </v>
          </cell>
        </row>
        <row r="326">
          <cell r="B326" t="str">
            <v>66  kV Neutral Earthing Resistors (NER)s 38 ohm includes foundations</v>
          </cell>
        </row>
        <row r="327">
          <cell r="B327" t="str">
            <v>66 kV (cont'd)</v>
          </cell>
        </row>
        <row r="328">
          <cell r="B328" t="str">
            <v>66  kV Neutral Earthing Resistors (NER)s  5 ohm , 50A including  NCT and foundations</v>
          </cell>
        </row>
        <row r="329">
          <cell r="B329" t="str">
            <v>66  kV Neutral Earthing Resistors (NER)s  110 Ohm , 15A including  NCT and foundations</v>
          </cell>
        </row>
        <row r="330">
          <cell r="B330" t="str">
            <v>66 kV  2200MVAr, single phase, air insulated  reactor</v>
          </cell>
        </row>
        <row r="331">
          <cell r="B331" t="str">
            <v>66 kV  Surge Arresters &amp; Surge Diverters (THREE phase set), 26.3 kA, 325 kV ABB EXLIM Q66-xH72 </v>
          </cell>
        </row>
        <row r="332">
          <cell r="B332" t="str">
            <v>Foundation work for 66 kV circuit breaker including stands</v>
          </cell>
        </row>
        <row r="333">
          <cell r="B333" t="str">
            <v>Foundation work for 66 kV circuit breaker EXCLUDING Stands</v>
          </cell>
        </row>
        <row r="334">
          <cell r="B334" t="str">
            <v>Foundations for 66 kV bus concrete post insulator support</v>
          </cell>
        </row>
        <row r="335">
          <cell r="B335" t="str">
            <v>Foundations for 66 kV bus steel post insulator support</v>
          </cell>
        </row>
        <row r="336">
          <cell r="B336" t="str">
            <v>foundation for three phase set - CT  NCT's and VT's includes  stands</v>
          </cell>
        </row>
        <row r="337">
          <cell r="B337" t="str">
            <v>Foundations for 66 kV  Disconnector -includes stands</v>
          </cell>
        </row>
        <row r="338">
          <cell r="B338" t="str">
            <v>foundation for line traps</v>
          </cell>
        </row>
        <row r="339">
          <cell r="B339" t="str">
            <v>Foundations for 66 kV bus steel "T"  tower </v>
          </cell>
        </row>
        <row r="340">
          <cell r="B340" t="str">
            <v>Foundations for 66 kV bus steel tower</v>
          </cell>
        </row>
        <row r="341">
          <cell r="B341" t="str">
            <v>66 kV tower foundations for concrete pole</v>
          </cell>
        </row>
        <row r="342">
          <cell r="B342" t="str">
            <v>66 kV concrete pole ( 15.5m high)</v>
          </cell>
        </row>
        <row r="343">
          <cell r="B343" t="str">
            <v>66 kV Steel tower 15.5 metres high  (average weight tonnes per tower)</v>
          </cell>
        </row>
        <row r="344">
          <cell r="B344" t="str">
            <v>66  kV Voltage Transformer SINGLE phase unit  Class 0.2/3P 30VA excludes foundations (Arteche)</v>
          </cell>
        </row>
        <row r="345">
          <cell r="B345" t="str">
            <v>66  kV Voltage Transformer THREE phase unit 66.000:V3/110:V3 V Class 0.2/3P 100VA (Trench)
</v>
          </cell>
        </row>
        <row r="346">
          <cell r="B346" t="str">
            <v>66  kV Voltage Transformer THREEE phase unit  Class 0.2/3P 30VA excludes foundations (Arteche)</v>
          </cell>
        </row>
        <row r="347">
          <cell r="B347" t="str">
            <v>66  kV Voltage Transformer SINGLE phase unit 66.000:V3/110:V3 V Class 0.2/3P 100VA (Trench)
</v>
          </cell>
        </row>
        <row r="350">
          <cell r="B350" t="str">
            <v>Blank Code Used as place filler</v>
          </cell>
        </row>
        <row r="351">
          <cell r="B351" t="str">
            <v>110 kV Rigid Bus 50mm dia alloy bus bay length 10.8m, steel insulator posts 3.1m high, 110kV insulators, twin butterfly flexible and fittings at one end</v>
          </cell>
        </row>
        <row r="352">
          <cell r="B352" t="str">
            <v>110 kV Strung (Flexible)  Bus consisting of bus termination each end, three Cicada conductor and insulators</v>
          </cell>
        </row>
        <row r="353">
          <cell r="B353" t="str">
            <v>110 kV steel "T" tower structure ( includes single steel upright, cross beam and insulators)</v>
          </cell>
        </row>
        <row r="354">
          <cell r="B354" t="str">
            <v>Capacitor banks</v>
          </cell>
        </row>
        <row r="355">
          <cell r="B355" t="str">
            <v>110 kV 2500 Amp Circuit Breaker, Gas Insulated  Outdoor,dead tank, stand and connections to equipment either side ( Areva DTI-145)</v>
          </cell>
        </row>
        <row r="356">
          <cell r="B356" t="str">
            <v>110 kV 3150 Amp Circuit Breaker, Gas Insulated  Outdoor,dead tank, stand and connections to equipment either side ( Seimens 3AP1-GF-145)</v>
          </cell>
        </row>
        <row r="357">
          <cell r="B357" t="str">
            <v>110 kV 3150 Amp Circuit Breaker (Areva), Gas Insulated,   Outdoor, Live tank,  stand and connections to equipment either side (Areva GL312)</v>
          </cell>
        </row>
        <row r="358">
          <cell r="B358" t="str">
            <v>110 kV 2500 Amp, Circuit Breaker, ( ABB LTB 145D1/B Low Noise) Gas Insulated,POW relay Outdoor, Live Tank for single pole operation with MD150 and three pillar support, and connections to equipment either side</v>
          </cell>
        </row>
        <row r="359">
          <cell r="B359" t="str">
            <v>110 kV 2500 Amp, Circuit Breaker, ( ABB LTB 145D Gas Insulated, Outdoor, Live Tank for single pole operation with MD150 and three pillar support, and connections to equipment either side</v>
          </cell>
        </row>
        <row r="360">
          <cell r="B360" t="str">
            <v>110 kV cables  single core 630 mm2 copper XLPE  in cable ducts or trenches (see CWKS for Ducts)</v>
          </cell>
        </row>
        <row r="361">
          <cell r="B361" t="str">
            <v>110 kV RayChem indoor cable  terminations  to  630 mm2 copper XLPE cable </v>
          </cell>
        </row>
        <row r="362">
          <cell r="B362" t="str">
            <v>110 kV Current Transformer SINGLE phase unit 1200 A 25KA, 5 core (Arteche CH-123) Class PX</v>
          </cell>
        </row>
        <row r="363">
          <cell r="B363" t="str">
            <v>110 kV Current Transformer Three phase unit 1200 A 25KA, 5 core (Arteche CH-123) Class PX</v>
          </cell>
        </row>
        <row r="364">
          <cell r="B364" t="str">
            <v>110 kV Current Transformer SINGLE phase unit 1200 A 25KA, 5 core (ABB IMB 123 A5) Class PX</v>
          </cell>
        </row>
        <row r="365">
          <cell r="B365" t="str">
            <v>110 kV Current Transformer THREE phase unit 1200 A 25KA, 5 core ((ABB IMB 123 A5) ) Class PX</v>
          </cell>
        </row>
        <row r="366">
          <cell r="B366" t="str">
            <v>110 kV Current Transformer SINGLE phase unit 2000 A 25KA 5 core (Nissin FGCH-100),Class PX</v>
          </cell>
        </row>
        <row r="367">
          <cell r="B367" t="str">
            <v>110 kV Current Transformer THREE phase unit 2000 A 25KA, 5 core, (Nissin FGCH-100)), Class PX</v>
          </cell>
        </row>
        <row r="368">
          <cell r="B368" t="str">
            <v>110 KV DIS and ES HAPAM 1250A double break centre rotating - double underhung c/w insulators (18) (Model SSBIII-AM-123) and connection to equipment / line at one side</v>
          </cell>
        </row>
        <row r="369">
          <cell r="B369" t="str">
            <v>110 KV DIS and ES HAPAM 1250A double break centre rotating -  underhung c/w insulators (9) (Model SSBIII-AM-123) and connection to equipment / line at one side</v>
          </cell>
        </row>
        <row r="370">
          <cell r="B370" t="e">
            <v>#N/A</v>
          </cell>
        </row>
        <row r="371">
          <cell r="B371" t="str">
            <v>110 KV DIS Hapam 3150A double break centre rotating - underhung c/w insulators (9) (Model type SSBIII-123) and connection to equipment / line at one side</v>
          </cell>
        </row>
        <row r="372">
          <cell r="B372" t="str">
            <v>110 KV DIS Hapam 3150A double break centre rotating - c/w insulators (9) and stands (model type SSBIII-123) and connection to equipment / line at one side</v>
          </cell>
        </row>
        <row r="373">
          <cell r="B373" t="str">
            <v>110 kV DIS Hapam 1250 A  double break centre rotating -   underhung c/w insulators (9) (model type SSBIII-123) and connection to equipment / line one side.</v>
          </cell>
        </row>
        <row r="374">
          <cell r="B374" t="str">
            <v>110 kV 2000 A    double under hung horizontal double break,  Disconnector   Hapam (SSBIII-123) includes  insulators</v>
          </cell>
        </row>
        <row r="375">
          <cell r="B375" t="str">
            <v>110 kV 1250 A  horizontal  double side  break,  Disconnector   Hapam (SSBIII-123) includes stands and insulators</v>
          </cell>
        </row>
        <row r="376">
          <cell r="B376" t="str">
            <v>110 kV DIS Hapam 1250 A  double break centre rotating -   underhung c/w insulators (9) (model type SSBIII-123) and connection to equipment / line one side.</v>
          </cell>
        </row>
        <row r="377">
          <cell r="B377" t="str">
            <v>110 kV ES Hapam  (model typeASB-123) and connection to equipment / line one side.</v>
          </cell>
        </row>
        <row r="378">
          <cell r="B378" t="str">
            <v>110 kV  1600 A ground mounted (Upright) Disconnector (IDB/K) compete with stands</v>
          </cell>
        </row>
        <row r="379">
          <cell r="B379" t="str">
            <v>110 kV 800 A  Disconnector - Single side break (ISB/P) complete with  insulators.</v>
          </cell>
        </row>
        <row r="380">
          <cell r="B380" t="str">
            <v>110 kV 800 A  Disconnector - Single side break (ISB/P) complete with  insulators.</v>
          </cell>
        </row>
        <row r="381">
          <cell r="B381" t="str">
            <v>110 kV  3150 A ground mounted (Upright) Disconnector 40 kA (IDB/K)</v>
          </cell>
        </row>
        <row r="382">
          <cell r="B382" t="str">
            <v>110 kV 3150 A Underhung Disconnector</v>
          </cell>
        </row>
        <row r="383">
          <cell r="B383" t="str">
            <v>110 kV 3150A pantograph Disconnector motorised operation (Areva)</v>
          </cell>
        </row>
        <row r="384">
          <cell r="B384" t="str">
            <v>110 kV  1250 A Earth Switch under hung, 26.3kA, (EVR/B )</v>
          </cell>
        </row>
        <row r="385">
          <cell r="B385" t="str">
            <v>Foundation work for 110 kV circuit breaker EXCLUDING Stands</v>
          </cell>
        </row>
        <row r="386">
          <cell r="B386" t="str">
            <v>Foundation work for 110 kV circuit breaker EXCLUDING Stands</v>
          </cell>
        </row>
        <row r="387">
          <cell r="B387" t="str">
            <v>Foundation work for 110 kV circuit breaker INCLUDING Stands</v>
          </cell>
        </row>
        <row r="388">
          <cell r="B388" t="str">
            <v>Foundations for 110 kV bus concrete post insulator support</v>
          </cell>
        </row>
        <row r="389">
          <cell r="B389" t="str">
            <v>Foundations for 110 kV bus steel post insulator support</v>
          </cell>
        </row>
        <row r="390">
          <cell r="B390" t="str">
            <v>foundation for three phase set - CT  INCLUDES  stands</v>
          </cell>
        </row>
        <row r="391">
          <cell r="B391" t="str">
            <v>foundation for three phase set - VT's  INCLUDES  stands</v>
          </cell>
        </row>
        <row r="392">
          <cell r="B392" t="str">
            <v>foundation for three phase set - NCT's iINCLUDES  stands</v>
          </cell>
        </row>
        <row r="393">
          <cell r="B393" t="str">
            <v>Foundations for 110 kV  Disconnector - INCLUDES stands</v>
          </cell>
        </row>
        <row r="394">
          <cell r="B394" t="str">
            <v>Foundations for 110 kV  Disconnector -EXCLUDES stands</v>
          </cell>
        </row>
        <row r="395">
          <cell r="B395" t="str">
            <v>foundation for line traps</v>
          </cell>
        </row>
        <row r="396">
          <cell r="B396" t="str">
            <v>110 kV Neutral Current Transformer (NCT)  500/200/1 Class PX, 1A, 25kA, (TWS)</v>
          </cell>
        </row>
        <row r="397">
          <cell r="B397" t="str">
            <v>110 kV Surge Arresters (THREE phase set), 31.5kA,  550 kV ABB EXLIM Q120-xH123 (class 3)</v>
          </cell>
        </row>
        <row r="398">
          <cell r="B398" t="str">
            <v>110 kV Steel Gantry and girder 8.7m high 15m wide (girder approx 8.7m above gnd)consisting of 813mm OD poles (8m high), 457 OD upper section (5m high) and girder (Same as 220kV gantry)</v>
          </cell>
        </row>
        <row r="399">
          <cell r="B399" t="str">
            <v>110 kV Post insulator  including concrete support structure </v>
          </cell>
        </row>
        <row r="400">
          <cell r="B400" t="str">
            <v>110 kV Voltage Transformer SiINGLE Phase single winding Class 3P (Arteche UTD123)</v>
          </cell>
        </row>
        <row r="401">
          <cell r="B401" t="str">
            <v>110 kV Voltage Transformer THREE Phase single winding Class 3P (Arteche UTD123)</v>
          </cell>
        </row>
        <row r="404">
          <cell r="B404" t="str">
            <v>Blank Code Used as place filler</v>
          </cell>
        </row>
        <row r="405">
          <cell r="B405" t="str">
            <v>220 kV Post  Insulator including concrete support structure for buswork</v>
          </cell>
        </row>
        <row r="406">
          <cell r="B406" t="str">
            <v>220 kV Post  Insulator including steel support structure for buswork</v>
          </cell>
        </row>
        <row r="407">
          <cell r="B407" t="str">
            <v>220 kV concrete pole 17.5 metres high</v>
          </cell>
        </row>
        <row r="408">
          <cell r="B408" t="str">
            <v>220 kV Rigid Bus (from ODV)</v>
          </cell>
        </row>
        <row r="409">
          <cell r="B409" t="str">
            <v>220 kV Aluminium Gantry Girder 7 metres wide</v>
          </cell>
        </row>
        <row r="410">
          <cell r="B410" t="str">
            <v>Steel Gantry girder approximately 16m long, 0.8 x 0.8 m square, constructed from 90 x 90 x8mm thick angle chords, 50 x 50 x 5 mm  thick angle braces 45 x 45 x 5mm cross braces and  203 x 76mm and 152 x76 mm  channel  attachment points. </v>
          </cell>
        </row>
        <row r="411">
          <cell r="B411" t="str">
            <v>220 kV Steel Gantry Girder 10 metres wide</v>
          </cell>
        </row>
        <row r="412">
          <cell r="B412" t="str">
            <v>220 kV Steel Gantry and girder 8.7m high 15m wide (girder approx 8.7m above gnd)consisting of 813mm OD poles (8m high), 457 OD upper section (5m high) and girder (Same as 220kV gantry)</v>
          </cell>
        </row>
        <row r="413">
          <cell r="B413" t="str">
            <v>220 kV Steel Gantry Tower 7 metres high</v>
          </cell>
        </row>
        <row r="414">
          <cell r="B414" t="str">
            <v>220 kV Aluminium Gantry Tower 8 metres high</v>
          </cell>
        </row>
        <row r="415">
          <cell r="B415" t="str">
            <v>220 kV Rigid Bus bay length 10.8m, steel insulator posts 3.1m high, 220 kV insulators, 50mm dia alloy bus, twin butterfly flexible and fittings at one end</v>
          </cell>
        </row>
        <row r="416">
          <cell r="B416" t="str">
            <v>220 kV Strung (Flexible)  Bus consisting of bus termination each end, three Cicada conductor and insulators</v>
          </cell>
        </row>
        <row r="417">
          <cell r="B417" t="str">
            <v>220 kV steel "T" tower structure ( includes single steel upright, cross beam and insulators)</v>
          </cell>
        </row>
        <row r="418">
          <cell r="B418" t="str">
            <v>Capacitor banks</v>
          </cell>
        </row>
        <row r="419">
          <cell r="B419" t="str">
            <v>220 kV 4000 Amp, Circuit Breaker, ( ABB LTB 245E1 Gas Insulated, Outdoor, Live Tank for use on CAP banks with insulators, stands and connections to equipment one side</v>
          </cell>
        </row>
        <row r="420">
          <cell r="B420" t="str">
            <v>220 kV 4000 Amp, Circuit Breaker, ( ABB LTB 245E1 Gas Insulated, Outdoor, Live Tankwith insulators, stands and connections to equipment one side</v>
          </cell>
        </row>
        <row r="421">
          <cell r="B421" t="str">
            <v>220 kV 4000 Amp, Circuit Breaker, ( Seimens 3AP1FG) Gas Insulated, Outdoor, Live Tank with insulators, stands and connections to equipment one side</v>
          </cell>
        </row>
        <row r="422">
          <cell r="B422" t="str">
            <v>220 kV Current Transformer THREE phase unit 2500 A  5 core( Nissin FGCH-200 ) Class PX with  stands and connections to equipment one side</v>
          </cell>
        </row>
        <row r="423">
          <cell r="B423" t="str">
            <v>220 kV Current Transformer THREE phase unit 1250 A  5 core( Nissin FGCH-200 ) Class PX with  stands and connections to equipment one side</v>
          </cell>
        </row>
        <row r="424">
          <cell r="B424" t="str">
            <v>220 kV Current Transformer THREE phase unit 1250 A  5 core Special - 4 protection 1 core indication ( Nissin FGCH-200 ) Class PX with  stands and connections to equipment one side</v>
          </cell>
        </row>
        <row r="425">
          <cell r="B425" t="str">
            <v>220 kV Current Transformer THREE phase unit 2500 A  5 core Special - 4 protection 1 core indication ( Nissin FGCH-200 ) Class PX with  stands and connections to equipment one side</v>
          </cell>
        </row>
        <row r="426">
          <cell r="B426" t="str">
            <v>220 kV CVT THREE phase unit 7000 pF with  stands and connections to equipment one side Trench Temp 230SX</v>
          </cell>
        </row>
        <row r="427">
          <cell r="B427" t="str">
            <v>220 kV CVT THREE phase unit 7000 pF two winding  with  stands and connections to equipment one side Trench Temp 230SX</v>
          </cell>
        </row>
        <row r="428">
          <cell r="B428" t="str">
            <v>220 kV 1200 A Disconnector - Double break,centre rotating (IDB/J)</v>
          </cell>
        </row>
        <row r="429">
          <cell r="B429" t="str">
            <v>220 KV DIS  1250A double break centre rotating -  c/w insulators (9) and stands ( Hapam Model SSBIII-245) and connection to equipment / line at one side. EXCLUDES foundations</v>
          </cell>
        </row>
        <row r="430">
          <cell r="B430" t="str">
            <v>220 KV DIS and ES 1250A double break centre rotating -  c/w insulators (9) and stands (Hapam Model SSBIII-AM-245) and connection to equipment / line at one side. EXCLUDES foundations</v>
          </cell>
        </row>
        <row r="431">
          <cell r="B431" t="str">
            <v>220 KV DIS  2500A double break centre rotating -  c/w insulators (9) and stands (Hapam Model SSBIII-245) and connection to equipment / line at one side. EXCLUDES foundations</v>
          </cell>
        </row>
        <row r="432">
          <cell r="B432" t="str">
            <v>220 KV DIS and ES 2500A double break centre rotating -  c/w insulators (9) and stands ( Hapam Model SSBIII-AM-245) and connection to equipment / line at one side. EXCLUDES foundations</v>
          </cell>
        </row>
        <row r="433">
          <cell r="B433" t="str">
            <v>220 KV  ES  stand alone earth switch  -  c/w insulators (9) and stands (Hapam Model ASB-245) and connection to equipment / line at one side. EXCLUDES foundations</v>
          </cell>
        </row>
        <row r="434">
          <cell r="B434" t="str">
            <v>220 KV  ES  stand alone earth switch  -  c/w insulators (9) and stands (Transfield Model EVR/D) and connection to equipment / line at one side. EXCLUDES foundations</v>
          </cell>
        </row>
        <row r="435">
          <cell r="B435" t="str">
            <v>220 kV 4000 A Disconnector - Double break,centre rotating (Transfield Model IDB)manual drive  complete with stands, insulators and connections to equipment one side</v>
          </cell>
        </row>
        <row r="436">
          <cell r="B436" t="str">
            <v>220 kV Neutral Current Transformer 800A (NCT)  500/200/1 Class PX, 1A, 25kA, (TWS)</v>
          </cell>
        </row>
        <row r="437">
          <cell r="B437" t="str">
            <v>220 kV Neutral Earthing Resistors (NER)s Class PX 1A</v>
          </cell>
        </row>
        <row r="438">
          <cell r="B438" t="str">
            <v>220 kV  2200MVAr, single phase, air insulated reactor  with associated support insulators and structures</v>
          </cell>
        </row>
        <row r="439">
          <cell r="B439" t="str">
            <v>220 kV Surge arrester THREE phase set 40.0 kA (950 kV ABB EXLIM Q198-xH245) (Class 3) incl foundation, stands HV connection etc</v>
          </cell>
        </row>
        <row r="440">
          <cell r="B440" t="str">
            <v>Combine concrete foundation for 220 kV CB and (3 ph set), includes for excavation, reinforcing steel, backfilling and concrete, EXCLUDES stands. Pad size approximately 9.6 x 4.8 x 0.4 metres ( 18.7m3)</v>
          </cell>
        </row>
        <row r="441">
          <cell r="B441" t="str">
            <v>Concrete foundation for 220 kV CB, includes for excavation, reinforcing steel, backfilling and concrete, EXCLUDES stands. Pad size approximately 9.6 x 1.8 x 0.4 metres ( 7.2m3)</v>
          </cell>
        </row>
        <row r="442">
          <cell r="B442" t="str">
            <v>Concrete foundation for 220 kV CT (3 ph set), includes for excavation, reinforcing steel, backfilling and concrete, EXCLUDES stands. Pad size approximately 9.6 x 1.4 x 0.4 metres ( 5.6m3)</v>
          </cell>
        </row>
        <row r="443">
          <cell r="B443" t="str">
            <v>Concrete foundation for 220 kV DS, includes for excavation, reinforcing steel, backfilling and concrete, EXCLUDES stands. Pad size approximately 8.4 x 4.0 x 0.3 metres ( 10.4m3)</v>
          </cell>
        </row>
        <row r="444">
          <cell r="B444" t="str">
            <v>Concrete foundation for single 220 kV bus post insulator, includes for excavation, reinforcing steel, backfilling and concrete, EXCLUDES stands. Pad size approximately 1.0 x 1.0 x 0.3  metres and 0.35 m square pedestall ( 0.4m3)</v>
          </cell>
        </row>
        <row r="445">
          <cell r="B445" t="str">
            <v>Concrete foundation for 220 kV NER, includes for excavation, reinforcing steel, backfilling and concrete, EXCLUDES stands. Pad size approximately 2.0 x 2.0 x 0.6  metres ( 2.4m3)</v>
          </cell>
        </row>
        <row r="446">
          <cell r="B446" t="str">
            <v>Concrete foundation for 220 kV Surge Arrester (Single unit), includes for excavation, reinforcing steel, backfilling and concrete, EXCLUDES stands. Pad size approximately 1.0 x 1.0 x 0.3  metres ( 0.3m3)</v>
          </cell>
        </row>
        <row r="447">
          <cell r="B447" t="str">
            <v>Foundations for 220 kV gantry steel tower (from ODV)</v>
          </cell>
        </row>
        <row r="448">
          <cell r="B448" t="str">
            <v>220 kV Voltage Transformer SINGLE Phase single winding Class 3P (Arteche UTD123)</v>
          </cell>
        </row>
        <row r="449">
          <cell r="B449" t="str">
            <v>220 kV Voltage Transformer THREE Phase single winding Class 3P (Arteche UTD123)</v>
          </cell>
        </row>
        <row r="458">
          <cell r="B458" t="str">
            <v>Blank Code Used as place filler</v>
          </cell>
        </row>
        <row r="459">
          <cell r="B459" t="str">
            <v>Transformer foundations  up to 40 MVA</v>
          </cell>
        </row>
        <row r="460">
          <cell r="B460" t="str">
            <v>Transformer foundations over 40 MVA and up to 80 MVA</v>
          </cell>
        </row>
        <row r="461">
          <cell r="B461" t="str">
            <v>Transformer foundations over 80 and up to 120 MVA</v>
          </cell>
        </row>
        <row r="462">
          <cell r="B462" t="str">
            <v>Transformer foundations over 80 and up to 120 MVA</v>
          </cell>
        </row>
        <row r="463">
          <cell r="B463" t="str">
            <v>Transformer Firewall based on wall 12 m x 5 metres high</v>
          </cell>
        </row>
        <row r="464">
          <cell r="B464" t="str">
            <v>Valves, Pipes, and Manholes for Transformer Foundation</v>
          </cell>
        </row>
        <row r="465">
          <cell r="B465" t="e">
            <v>#N/A</v>
          </cell>
        </row>
        <row r="466">
          <cell r="B466" t="str">
            <v>Transformer  220/110 kV 250MVA -Pauwels  (PSA No1) complete with OLTC, surge arresters,  DDP AKLD.  Install  is for final connections and final commissioning - Oil filling, site assembly, precommissioning, inland  transport are separate priceable  items</v>
          </cell>
        </row>
        <row r="467">
          <cell r="B467" t="str">
            <v>Transformer  220/110 kV 120MVA -Pauwels  (PSA No2) complete with OLTC, surge arresters,  DDP AKLD.  Install  is for final connections and final commissioning - Oil filling, site assembly, precommissioning, inland  transport are separate priceable  items</v>
          </cell>
        </row>
        <row r="468">
          <cell r="B468" t="str">
            <v>Transformer  220/33 kV 120MVA -Pauwels  (PSA No6) complete with OLTC, surge arresters,  DDP AKLD.  Install  is for final connections and final commissioning - Oil filling, site assembly, precommissioning, inland  transport are separate priceable  items</v>
          </cell>
        </row>
        <row r="469">
          <cell r="B469" t="str">
            <v>Transformer  220/33kV  60MVA -Pauwels  (PSA No7) complete with OLTC, surge arresters,  DDP AKLD.  Install  is for final connections and final commissioning - Oil filling, site assembly, precommissioning, inland  transport are separate priceable  items</v>
          </cell>
        </row>
        <row r="470">
          <cell r="B470" t="str">
            <v>Transformer  110/33 120MVA -ABB  (PSA No3) complete with OLTC, surge arresters,  DDP AKLD.  Install  is for final connections and final commissioning - Oil filling, site assembly, precommissioning, inland  transport are separate priceable  items</v>
          </cell>
        </row>
        <row r="471">
          <cell r="B471" t="str">
            <v>Transformer  110/33 60MVA -ABB  (PSA No4) complete with OLTC, surge arresters,  DDP AKLD.  Install  is for final connections and final commissioning - Oil filling, site assembly, precommissioning, inland  transport are separate priceable  items</v>
          </cell>
        </row>
        <row r="472">
          <cell r="B472" t="str">
            <v>Transformer  110/33 30MVA -ABB  (PSA No5) complete with OLTC, surge arresters,  DDP AKLD.  Install  is for final connections and final commissioning - Oil filling, site assembly, precommissioning, inland  transport are separate priceable  items</v>
          </cell>
        </row>
        <row r="473">
          <cell r="B473" t="str">
            <v>Transformer  110/11 45MVA -ABB  (PSA No8) complete with OLTC, surge arresters,  DDP AKLD.  Install  is for final connections and final commissioning - Oil filling, site assembly, precommissioning, inland  transport are separate priceable  items</v>
          </cell>
        </row>
        <row r="474">
          <cell r="B474" t="str">
            <v>Transformer  110/11 30MVA -ABB  (PSA No9) complete with OLTC, surge arresters,  DDP AKLD.  Install  is for final connections and final commissioning - Oil filling, site assembly, precommissioning, inland  transport are separate priceable  items</v>
          </cell>
        </row>
        <row r="475">
          <cell r="B475" t="str">
            <v>Transformer  110/11 10MVA -ABB  (PSA No10) complete with OLTC, surge arresters,  DDP AKLD.  Install  is for final connections and final commissioning - Oil filling, site assembly, precommissioning, inland  transport are separate priceable  items</v>
          </cell>
        </row>
        <row r="476">
          <cell r="B476" t="str">
            <v>Transformer  66/11 30MVA -ABB  (PSA No11) complete with OLTC, surge arresters,  DDP AKLD.  Install  is for final connections and final commissioning - Oil filling, site assembly, precommissioning, inland  transport are separate priceable  items</v>
          </cell>
        </row>
        <row r="477">
          <cell r="B477" t="str">
            <v>Transformer  33/11 30MVA -ABB  (PSA No12) complete with OLTC, surge arresters,  DDP AKLD.  Install  is for final connections and final commissioning - Oil filling, site assembly, precommissioning, inland  transport are separate priceable  items</v>
          </cell>
        </row>
        <row r="478">
          <cell r="B478" t="e">
            <v>#N/A</v>
          </cell>
        </row>
        <row r="479">
          <cell r="B479" t="e">
            <v>#N/A</v>
          </cell>
        </row>
        <row r="480">
          <cell r="B480" t="e">
            <v>#N/A</v>
          </cell>
        </row>
        <row r="481">
          <cell r="B481" t="e">
            <v>#N/A</v>
          </cell>
        </row>
      </sheetData>
      <sheetData sheetId="20">
        <row r="6">
          <cell r="B6" t="str">
            <v>Transpower - Bernard Palamountain</v>
          </cell>
        </row>
        <row r="7">
          <cell r="B7" t="str">
            <v>Transpower - Bob Wildash; </v>
          </cell>
        </row>
        <row r="8">
          <cell r="B8" t="str">
            <v>Transpower - Daniel Crawshay</v>
          </cell>
        </row>
        <row r="9">
          <cell r="B9" t="str">
            <v>Transpower - David Shipman</v>
          </cell>
        </row>
        <row r="10">
          <cell r="B10" t="str">
            <v>Transpower - Edward Snook; </v>
          </cell>
        </row>
        <row r="11">
          <cell r="B11" t="str">
            <v>Transpower - Gordon Craig; </v>
          </cell>
        </row>
        <row r="12">
          <cell r="B12" t="str">
            <v>Transpower - Ivan Hunt; </v>
          </cell>
        </row>
        <row r="13">
          <cell r="B13" t="str">
            <v>Transpower - Jitesh Raniga</v>
          </cell>
        </row>
        <row r="14">
          <cell r="B14" t="str">
            <v>Transpower - John Heaney</v>
          </cell>
        </row>
        <row r="15">
          <cell r="B15" t="str">
            <v>Transpower - Jon van der Horst Bruyn; </v>
          </cell>
        </row>
        <row r="16">
          <cell r="B16" t="str">
            <v>Transpower - Kent Martin; </v>
          </cell>
        </row>
        <row r="17">
          <cell r="B17" t="str">
            <v>Transpower - Malcolm Stewart; </v>
          </cell>
        </row>
        <row r="18">
          <cell r="B18" t="str">
            <v>Transpower - Matthew Copland; </v>
          </cell>
        </row>
        <row r="19">
          <cell r="B19" t="str">
            <v>Transpower - Milind Khot; </v>
          </cell>
        </row>
        <row r="20">
          <cell r="B20" t="str">
            <v>Transpower - Nick Coad; </v>
          </cell>
        </row>
        <row r="21">
          <cell r="B21" t="str">
            <v>Transpower - Ranjit Jayamaha; </v>
          </cell>
        </row>
        <row r="22">
          <cell r="B22" t="str">
            <v>Transpower - Ranjith de Silva; </v>
          </cell>
        </row>
        <row r="23">
          <cell r="B23" t="str">
            <v>Transpower - Robert Deller; </v>
          </cell>
        </row>
        <row r="24">
          <cell r="B24" t="str">
            <v>Transpower - Robert Lake; </v>
          </cell>
        </row>
        <row r="25">
          <cell r="B25" t="str">
            <v>Transpower - Roy Noble; </v>
          </cell>
        </row>
        <row r="26">
          <cell r="B26" t="str">
            <v>Transpower - Ruth English; </v>
          </cell>
        </row>
        <row r="27">
          <cell r="B27" t="str">
            <v>Transpower - Sarah Mace; </v>
          </cell>
        </row>
        <row r="28">
          <cell r="B28" t="str">
            <v>Transpower - Simon Leitch; </v>
          </cell>
        </row>
        <row r="29">
          <cell r="B29" t="str">
            <v>Transpower - Stephen McAdams</v>
          </cell>
        </row>
        <row r="30">
          <cell r="B30" t="str">
            <v>Transpower - TBA1</v>
          </cell>
        </row>
        <row r="31">
          <cell r="B31" t="str">
            <v>Transpower - TBA2</v>
          </cell>
        </row>
        <row r="32">
          <cell r="B32" t="str">
            <v>Maunsell - Alan Chant</v>
          </cell>
        </row>
        <row r="33">
          <cell r="B33" t="str">
            <v>Maunsell - Alastair McAra</v>
          </cell>
        </row>
        <row r="34">
          <cell r="B34" t="str">
            <v>Maunsell - Alexander Hermosa</v>
          </cell>
        </row>
        <row r="35">
          <cell r="B35" t="str">
            <v>Maunsell - Alisdair Reid</v>
          </cell>
        </row>
        <row r="36">
          <cell r="B36" t="str">
            <v>Maunsell - Anant Prakash</v>
          </cell>
        </row>
        <row r="37">
          <cell r="B37" t="str">
            <v>Maunsell - Andrew Baird</v>
          </cell>
        </row>
        <row r="38">
          <cell r="B38" t="str">
            <v>Maunsell - Andrew Renton</v>
          </cell>
        </row>
        <row r="39">
          <cell r="B39" t="str">
            <v>Maunsell - Andrew Wilson</v>
          </cell>
        </row>
        <row r="40">
          <cell r="B40" t="str">
            <v>Maunsell - Anton Nel</v>
          </cell>
        </row>
        <row r="41">
          <cell r="B41" t="str">
            <v>Maunsell - Arun Arora</v>
          </cell>
        </row>
        <row r="42">
          <cell r="B42" t="str">
            <v>Maunsell - Barry Stephenson</v>
          </cell>
        </row>
        <row r="43">
          <cell r="B43" t="str">
            <v>Maunsell - Biggie Nyashanu</v>
          </cell>
        </row>
        <row r="44">
          <cell r="B44" t="str">
            <v>Maunsell - Carlo Jaminola</v>
          </cell>
        </row>
        <row r="45">
          <cell r="B45" t="str">
            <v>Maunsell - Dave Almond</v>
          </cell>
        </row>
        <row r="46">
          <cell r="B46" t="str">
            <v>Maunsell - David Butel</v>
          </cell>
        </row>
        <row r="47">
          <cell r="B47" t="str">
            <v>Maunsell - Dawei Gong</v>
          </cell>
        </row>
        <row r="48">
          <cell r="B48" t="str">
            <v>Maunsell - Don Wills</v>
          </cell>
        </row>
        <row r="49">
          <cell r="B49" t="str">
            <v>Maunsell - Edward Djknavarian</v>
          </cell>
        </row>
        <row r="50">
          <cell r="B50" t="str">
            <v>Maunsell - Fatin Awni</v>
          </cell>
        </row>
        <row r="51">
          <cell r="B51" t="str">
            <v>Maunsell - Francis Wong</v>
          </cell>
        </row>
        <row r="52">
          <cell r="B52" t="str">
            <v>Maunsell - Gabriel Lim</v>
          </cell>
        </row>
        <row r="53">
          <cell r="B53" t="str">
            <v>Maunsell - George Horvath</v>
          </cell>
        </row>
        <row r="54">
          <cell r="B54" t="str">
            <v>Maunsell - Ginny Brewer</v>
          </cell>
        </row>
        <row r="55">
          <cell r="B55" t="str">
            <v>Maunsell - Henry Kubacki</v>
          </cell>
        </row>
        <row r="56">
          <cell r="B56" t="str">
            <v>Maunsell - Iqbal Kalsi</v>
          </cell>
        </row>
        <row r="57">
          <cell r="B57" t="str">
            <v>Maunsell - Jabez Smith</v>
          </cell>
        </row>
        <row r="58">
          <cell r="B58" t="str">
            <v>Maunsell - James Brien</v>
          </cell>
        </row>
        <row r="59">
          <cell r="B59" t="str">
            <v>Maunsell - Jin Phoon</v>
          </cell>
        </row>
        <row r="60">
          <cell r="B60" t="str">
            <v>Maunsell - John Coenradi</v>
          </cell>
        </row>
        <row r="61">
          <cell r="B61" t="str">
            <v>Maunsell - Kevin Morris</v>
          </cell>
        </row>
        <row r="62">
          <cell r="B62" t="str">
            <v>Maunsell - Luke Crowe</v>
          </cell>
        </row>
        <row r="63">
          <cell r="B63" t="str">
            <v>Maunsell - Michael Holtzhausen</v>
          </cell>
        </row>
        <row r="64">
          <cell r="B64" t="str">
            <v>Maunsell - Nick Smith</v>
          </cell>
        </row>
        <row r="65">
          <cell r="B65" t="str">
            <v>Maunsell - Raj Mahadeva</v>
          </cell>
        </row>
        <row r="66">
          <cell r="B66" t="str">
            <v>Maunsell - Ricardo Macasaquit</v>
          </cell>
        </row>
        <row r="67">
          <cell r="B67" t="str">
            <v>Maunsell - Rob Orange</v>
          </cell>
        </row>
        <row r="68">
          <cell r="B68" t="str">
            <v>Maunsell - Sam Zhao</v>
          </cell>
        </row>
        <row r="69">
          <cell r="B69" t="str">
            <v>Maunsell - Sarah Fuller</v>
          </cell>
        </row>
        <row r="70">
          <cell r="B70" t="str">
            <v>Maunsell - Saurabh Rajvanshi</v>
          </cell>
        </row>
        <row r="71">
          <cell r="B71" t="str">
            <v>Maunsell - Stacey Williams</v>
          </cell>
        </row>
        <row r="72">
          <cell r="B72" t="str">
            <v>Maunsell - Stephen Kendrick</v>
          </cell>
        </row>
        <row r="73">
          <cell r="B73" t="str">
            <v>Maunsell - Stephen Thomas</v>
          </cell>
        </row>
        <row r="74">
          <cell r="B74" t="str">
            <v>Maunsell - Sushama Khot</v>
          </cell>
        </row>
        <row r="75">
          <cell r="B75" t="str">
            <v>Maunsell - Willie Otto</v>
          </cell>
        </row>
        <row r="76">
          <cell r="B76" t="str">
            <v>Maunsell - Ying Wang</v>
          </cell>
        </row>
        <row r="77">
          <cell r="B77" t="str">
            <v>Beca - 1</v>
          </cell>
        </row>
        <row r="78">
          <cell r="B78" t="str">
            <v>Beca - 2</v>
          </cell>
        </row>
        <row r="79">
          <cell r="B79" t="str">
            <v>Beca - 3</v>
          </cell>
        </row>
        <row r="80">
          <cell r="B80" t="str">
            <v>Beca - 4</v>
          </cell>
        </row>
        <row r="81">
          <cell r="B81" t="str">
            <v>Beca - 5</v>
          </cell>
        </row>
        <row r="82">
          <cell r="B82" t="str">
            <v>Beca - 6</v>
          </cell>
        </row>
        <row r="83">
          <cell r="B83" t="str">
            <v>Beca - 7</v>
          </cell>
        </row>
        <row r="84">
          <cell r="B84" t="str">
            <v>Beca - 8</v>
          </cell>
        </row>
        <row r="85">
          <cell r="B85" t="str">
            <v>Beca - 9</v>
          </cell>
        </row>
        <row r="86">
          <cell r="B86" t="str">
            <v>Beca - 10</v>
          </cell>
        </row>
        <row r="87">
          <cell r="B87" t="str">
            <v>TLM-1</v>
          </cell>
        </row>
        <row r="88">
          <cell r="B88" t="str">
            <v>TLM-2</v>
          </cell>
        </row>
        <row r="89">
          <cell r="B89" t="str">
            <v>TLM-3</v>
          </cell>
        </row>
        <row r="90">
          <cell r="B90" t="str">
            <v>TLM-4</v>
          </cell>
        </row>
        <row r="91">
          <cell r="B91" t="str">
            <v>TLM-5</v>
          </cell>
        </row>
        <row r="92">
          <cell r="B92" t="str">
            <v>TLM-6</v>
          </cell>
        </row>
        <row r="93">
          <cell r="B93" t="str">
            <v>TLM-7</v>
          </cell>
        </row>
        <row r="94">
          <cell r="B94" t="str">
            <v>TLM-8</v>
          </cell>
        </row>
        <row r="95">
          <cell r="B95" t="str">
            <v>TLM-9</v>
          </cell>
        </row>
        <row r="96">
          <cell r="B96" t="str">
            <v>TLM-10</v>
          </cell>
        </row>
      </sheetData>
      <sheetData sheetId="21">
        <row r="2">
          <cell r="C2" t="str">
            <v>ABY</v>
          </cell>
        </row>
        <row r="3">
          <cell r="C3" t="str">
            <v>ADD</v>
          </cell>
        </row>
        <row r="4">
          <cell r="C4" t="str">
            <v>ALB</v>
          </cell>
        </row>
        <row r="5">
          <cell r="C5" t="str">
            <v>APS</v>
          </cell>
        </row>
        <row r="6">
          <cell r="C6" t="str">
            <v>ARA</v>
          </cell>
        </row>
        <row r="7">
          <cell r="C7" t="str">
            <v>ARG</v>
          </cell>
        </row>
        <row r="8">
          <cell r="C8" t="str">
            <v>ARI</v>
          </cell>
        </row>
        <row r="9">
          <cell r="C9" t="str">
            <v>ASB</v>
          </cell>
        </row>
        <row r="10">
          <cell r="C10" t="str">
            <v>ASY</v>
          </cell>
        </row>
        <row r="11">
          <cell r="C11" t="str">
            <v>ATI</v>
          </cell>
        </row>
        <row r="12">
          <cell r="C12" t="str">
            <v>AVI</v>
          </cell>
        </row>
        <row r="13">
          <cell r="C13" t="str">
            <v>BAL</v>
          </cell>
        </row>
        <row r="14">
          <cell r="C14" t="str">
            <v>BDE</v>
          </cell>
        </row>
        <row r="15">
          <cell r="C15" t="str">
            <v>BEN</v>
          </cell>
        </row>
        <row r="16">
          <cell r="C16" t="str">
            <v>BLN</v>
          </cell>
        </row>
        <row r="17">
          <cell r="C17" t="str">
            <v>BOB</v>
          </cell>
        </row>
        <row r="18">
          <cell r="C18" t="str">
            <v>BPE</v>
          </cell>
        </row>
        <row r="19">
          <cell r="C19" t="str">
            <v>BPT</v>
          </cell>
        </row>
        <row r="20">
          <cell r="C20" t="str">
            <v>BRB</v>
          </cell>
        </row>
        <row r="21">
          <cell r="C21" t="str">
            <v>BRK</v>
          </cell>
        </row>
        <row r="22">
          <cell r="C22" t="str">
            <v>BRY</v>
          </cell>
        </row>
        <row r="23">
          <cell r="C23" t="str">
            <v>BWK</v>
          </cell>
        </row>
        <row r="24">
          <cell r="C24" t="str">
            <v>CBG</v>
          </cell>
        </row>
        <row r="25">
          <cell r="C25" t="str">
            <v>CLH</v>
          </cell>
        </row>
        <row r="26">
          <cell r="C26" t="str">
            <v>CML</v>
          </cell>
        </row>
        <row r="27">
          <cell r="C27" t="str">
            <v>COB</v>
          </cell>
        </row>
        <row r="28">
          <cell r="C28" t="str">
            <v>COL</v>
          </cell>
        </row>
        <row r="29">
          <cell r="C29" t="str">
            <v>CPK</v>
          </cell>
        </row>
        <row r="30">
          <cell r="C30" t="str">
            <v>CST</v>
          </cell>
        </row>
        <row r="31">
          <cell r="C31" t="str">
            <v>CUL</v>
          </cell>
        </row>
        <row r="32">
          <cell r="C32" t="str">
            <v>CYD</v>
          </cell>
        </row>
        <row r="33">
          <cell r="C33" t="str">
            <v>DAR</v>
          </cell>
        </row>
        <row r="34">
          <cell r="C34" t="str">
            <v>DOB</v>
          </cell>
        </row>
        <row r="35">
          <cell r="C35" t="str">
            <v>DVK</v>
          </cell>
        </row>
        <row r="36">
          <cell r="C36" t="str">
            <v>EDG</v>
          </cell>
        </row>
        <row r="37">
          <cell r="C37" t="str">
            <v>EDN</v>
          </cell>
        </row>
        <row r="38">
          <cell r="C38" t="str">
            <v>FHL</v>
          </cell>
        </row>
        <row r="39">
          <cell r="C39" t="str">
            <v>FKN</v>
          </cell>
        </row>
        <row r="40">
          <cell r="C40" t="str">
            <v>FTB</v>
          </cell>
        </row>
        <row r="41">
          <cell r="C41" t="str">
            <v>FTN</v>
          </cell>
        </row>
        <row r="42">
          <cell r="C42" t="str">
            <v>GDE</v>
          </cell>
        </row>
        <row r="43">
          <cell r="C43" t="str">
            <v>GFD</v>
          </cell>
        </row>
        <row r="44">
          <cell r="C44" t="str">
            <v>GIS</v>
          </cell>
        </row>
        <row r="45">
          <cell r="C45" t="str">
            <v>GLN</v>
          </cell>
        </row>
        <row r="46">
          <cell r="C46" t="str">
            <v>GOR</v>
          </cell>
        </row>
        <row r="47">
          <cell r="C47" t="str">
            <v>GYM</v>
          </cell>
        </row>
        <row r="48">
          <cell r="C48" t="str">
            <v>GYT</v>
          </cell>
        </row>
        <row r="49">
          <cell r="C49" t="str">
            <v>HAI</v>
          </cell>
        </row>
        <row r="50">
          <cell r="C50" t="str">
            <v>HAM</v>
          </cell>
        </row>
        <row r="51">
          <cell r="C51" t="str">
            <v>HAY</v>
          </cell>
        </row>
        <row r="52">
          <cell r="C52" t="str">
            <v>HBK</v>
          </cell>
        </row>
        <row r="53">
          <cell r="C53" t="str">
            <v>HEN</v>
          </cell>
        </row>
        <row r="54">
          <cell r="C54" t="str">
            <v>HEP</v>
          </cell>
        </row>
        <row r="55">
          <cell r="C55" t="str">
            <v>HHI</v>
          </cell>
        </row>
        <row r="56">
          <cell r="C56" t="str">
            <v>HIN</v>
          </cell>
        </row>
        <row r="57">
          <cell r="C57" t="str">
            <v>HKK</v>
          </cell>
        </row>
        <row r="58">
          <cell r="C58" t="str">
            <v>HLY</v>
          </cell>
        </row>
        <row r="59">
          <cell r="C59" t="str">
            <v>HOR</v>
          </cell>
        </row>
        <row r="60">
          <cell r="C60" t="str">
            <v>HPI</v>
          </cell>
        </row>
        <row r="61">
          <cell r="C61" t="str">
            <v>HTI</v>
          </cell>
        </row>
        <row r="62">
          <cell r="C62" t="str">
            <v>HUI</v>
          </cell>
        </row>
        <row r="63">
          <cell r="C63" t="str">
            <v>HWA</v>
          </cell>
        </row>
        <row r="64">
          <cell r="C64" t="str">
            <v>HWB</v>
          </cell>
        </row>
        <row r="65">
          <cell r="C65" t="str">
            <v>IGH</v>
          </cell>
        </row>
        <row r="66">
          <cell r="C66" t="str">
            <v>INV</v>
          </cell>
        </row>
        <row r="67">
          <cell r="C67" t="str">
            <v>ISL</v>
          </cell>
        </row>
        <row r="68">
          <cell r="C68" t="str">
            <v>KAI</v>
          </cell>
        </row>
        <row r="69">
          <cell r="C69" t="str">
            <v>KAW</v>
          </cell>
        </row>
        <row r="70">
          <cell r="C70" t="str">
            <v>KEN</v>
          </cell>
        </row>
        <row r="71">
          <cell r="C71" t="str">
            <v>KIK</v>
          </cell>
        </row>
        <row r="72">
          <cell r="C72" t="str">
            <v>KIN</v>
          </cell>
        </row>
        <row r="73">
          <cell r="C73" t="str">
            <v>KKA</v>
          </cell>
        </row>
        <row r="74">
          <cell r="C74" t="str">
            <v>KOE</v>
          </cell>
        </row>
        <row r="75">
          <cell r="C75" t="str">
            <v>KPO</v>
          </cell>
        </row>
        <row r="76">
          <cell r="C76" t="str">
            <v>KPU</v>
          </cell>
        </row>
        <row r="77">
          <cell r="C77" t="str">
            <v>KTA</v>
          </cell>
        </row>
        <row r="78">
          <cell r="C78" t="str">
            <v>KUM</v>
          </cell>
        </row>
        <row r="79">
          <cell r="C79" t="str">
            <v>KWA</v>
          </cell>
        </row>
        <row r="80">
          <cell r="C80" t="str">
            <v>LFD</v>
          </cell>
        </row>
        <row r="81">
          <cell r="C81" t="str">
            <v>LIV</v>
          </cell>
        </row>
        <row r="82">
          <cell r="C82" t="str">
            <v>LTN</v>
          </cell>
        </row>
        <row r="83">
          <cell r="C83" t="str">
            <v>MAN</v>
          </cell>
        </row>
        <row r="84">
          <cell r="C84" t="str">
            <v>MAT</v>
          </cell>
        </row>
        <row r="85">
          <cell r="C85" t="str">
            <v>MCH</v>
          </cell>
        </row>
        <row r="86">
          <cell r="C86" t="str">
            <v>MDN</v>
          </cell>
        </row>
        <row r="87">
          <cell r="C87" t="str">
            <v>MER</v>
          </cell>
        </row>
        <row r="88">
          <cell r="C88" t="str">
            <v>MGM</v>
          </cell>
        </row>
        <row r="89">
          <cell r="C89" t="str">
            <v>MHO</v>
          </cell>
        </row>
        <row r="90">
          <cell r="C90" t="str">
            <v>MLG</v>
          </cell>
        </row>
        <row r="91">
          <cell r="C91" t="str">
            <v>MNG</v>
          </cell>
        </row>
        <row r="92">
          <cell r="C92" t="str">
            <v>MNI</v>
          </cell>
        </row>
        <row r="93">
          <cell r="C93" t="str">
            <v>MOT</v>
          </cell>
        </row>
        <row r="94">
          <cell r="C94" t="str">
            <v>MPE</v>
          </cell>
        </row>
        <row r="95">
          <cell r="C95" t="str">
            <v>MPI</v>
          </cell>
        </row>
        <row r="96">
          <cell r="C96" t="str">
            <v>MRA</v>
          </cell>
        </row>
        <row r="97">
          <cell r="C97" t="str">
            <v>MST</v>
          </cell>
        </row>
        <row r="98">
          <cell r="C98" t="str">
            <v>MTI</v>
          </cell>
        </row>
        <row r="99">
          <cell r="C99" t="str">
            <v>MTM</v>
          </cell>
        </row>
        <row r="100">
          <cell r="C100" t="str">
            <v>MTN</v>
          </cell>
        </row>
        <row r="101">
          <cell r="C101" t="str">
            <v>MTO</v>
          </cell>
        </row>
        <row r="102">
          <cell r="C102" t="str">
            <v>MTR</v>
          </cell>
        </row>
        <row r="103">
          <cell r="C103" t="str">
            <v>NEW</v>
          </cell>
        </row>
        <row r="104">
          <cell r="C104" t="str">
            <v>NMA</v>
          </cell>
        </row>
        <row r="105">
          <cell r="C105" t="str">
            <v>NPK</v>
          </cell>
        </row>
        <row r="106">
          <cell r="C106" t="str">
            <v>NPL</v>
          </cell>
        </row>
        <row r="107">
          <cell r="C107" t="str">
            <v>NSY</v>
          </cell>
        </row>
        <row r="108">
          <cell r="C108" t="str">
            <v>OAM</v>
          </cell>
        </row>
        <row r="109">
          <cell r="C109" t="str">
            <v>OHA</v>
          </cell>
        </row>
        <row r="110">
          <cell r="C110" t="str">
            <v>OHB</v>
          </cell>
        </row>
        <row r="111">
          <cell r="C111" t="str">
            <v>OHC</v>
          </cell>
        </row>
        <row r="112">
          <cell r="C112" t="str">
            <v>OHK</v>
          </cell>
        </row>
        <row r="113">
          <cell r="C113" t="str">
            <v>OKE</v>
          </cell>
        </row>
        <row r="114">
          <cell r="C114" t="str">
            <v>OKI</v>
          </cell>
        </row>
        <row r="115">
          <cell r="C115" t="str">
            <v>OKN</v>
          </cell>
        </row>
        <row r="116">
          <cell r="C116" t="str">
            <v>ONG</v>
          </cell>
        </row>
        <row r="117">
          <cell r="C117" t="str">
            <v>OPK</v>
          </cell>
        </row>
        <row r="118">
          <cell r="C118" t="str">
            <v>OTA</v>
          </cell>
        </row>
        <row r="119">
          <cell r="C119" t="str">
            <v>OTB</v>
          </cell>
        </row>
        <row r="120">
          <cell r="C120" t="str">
            <v>OTG</v>
          </cell>
        </row>
        <row r="121">
          <cell r="C121" t="str">
            <v>OTI</v>
          </cell>
        </row>
        <row r="122">
          <cell r="C122" t="str">
            <v>OWH</v>
          </cell>
        </row>
        <row r="123">
          <cell r="C123" t="str">
            <v>PAK</v>
          </cell>
        </row>
        <row r="124">
          <cell r="C124" t="str">
            <v>PAL</v>
          </cell>
        </row>
        <row r="125">
          <cell r="C125" t="str">
            <v>PAP</v>
          </cell>
        </row>
        <row r="126">
          <cell r="C126" t="str">
            <v>PEN</v>
          </cell>
        </row>
        <row r="127">
          <cell r="C127" t="str">
            <v>PNI</v>
          </cell>
        </row>
        <row r="128">
          <cell r="C128" t="str">
            <v>PRM</v>
          </cell>
        </row>
        <row r="129">
          <cell r="C129" t="str">
            <v>RDF</v>
          </cell>
        </row>
        <row r="130">
          <cell r="C130" t="str">
            <v>RFT</v>
          </cell>
        </row>
        <row r="131">
          <cell r="C131" t="str">
            <v>REMOTE</v>
          </cell>
        </row>
        <row r="132">
          <cell r="C132" t="str">
            <v>ROS</v>
          </cell>
        </row>
        <row r="133">
          <cell r="C133" t="str">
            <v>ROT</v>
          </cell>
        </row>
        <row r="134">
          <cell r="C134" t="str">
            <v>ROX</v>
          </cell>
        </row>
        <row r="135">
          <cell r="C135" t="str">
            <v>RPO</v>
          </cell>
        </row>
        <row r="136">
          <cell r="C136" t="str">
            <v>SBK</v>
          </cell>
        </row>
        <row r="137">
          <cell r="C137" t="str">
            <v>SDN</v>
          </cell>
        </row>
        <row r="138">
          <cell r="C138" t="str">
            <v>SFD</v>
          </cell>
        </row>
        <row r="139">
          <cell r="C139" t="str">
            <v>SPN</v>
          </cell>
        </row>
        <row r="140">
          <cell r="C140" t="str">
            <v>STK</v>
          </cell>
        </row>
        <row r="141">
          <cell r="C141" t="str">
            <v>STU</v>
          </cell>
        </row>
        <row r="142">
          <cell r="C142" t="str">
            <v>SVL</v>
          </cell>
        </row>
        <row r="143">
          <cell r="C143" t="str">
            <v>SWN</v>
          </cell>
        </row>
        <row r="144">
          <cell r="C144" t="str">
            <v>TAK</v>
          </cell>
        </row>
        <row r="145">
          <cell r="C145" t="str">
            <v>TGA</v>
          </cell>
        </row>
        <row r="146">
          <cell r="C146" t="str">
            <v>TIM</v>
          </cell>
        </row>
        <row r="147">
          <cell r="C147" t="str">
            <v>TKA</v>
          </cell>
        </row>
        <row r="148">
          <cell r="C148" t="str">
            <v>TKB</v>
          </cell>
        </row>
        <row r="149">
          <cell r="C149" t="str">
            <v>TKH</v>
          </cell>
        </row>
        <row r="150">
          <cell r="C150" t="str">
            <v>TKR</v>
          </cell>
        </row>
        <row r="151">
          <cell r="C151" t="str">
            <v>TKU</v>
          </cell>
        </row>
        <row r="152">
          <cell r="C152" t="str">
            <v>TMH</v>
          </cell>
        </row>
        <row r="153">
          <cell r="C153" t="str">
            <v>TMI</v>
          </cell>
        </row>
        <row r="154">
          <cell r="C154" t="str">
            <v>TMK</v>
          </cell>
        </row>
        <row r="155">
          <cell r="C155" t="str">
            <v>TMN</v>
          </cell>
        </row>
        <row r="156">
          <cell r="C156" t="str">
            <v>TMU</v>
          </cell>
        </row>
        <row r="157">
          <cell r="C157" t="str">
            <v>TNG</v>
          </cell>
        </row>
        <row r="158">
          <cell r="C158" t="str">
            <v>TOB</v>
          </cell>
        </row>
        <row r="159">
          <cell r="C159" t="str">
            <v>TRK</v>
          </cell>
        </row>
        <row r="160">
          <cell r="C160" t="str">
            <v>TUI</v>
          </cell>
        </row>
        <row r="161">
          <cell r="C161" t="str">
            <v>TWH</v>
          </cell>
        </row>
        <row r="162">
          <cell r="C162" t="str">
            <v>TWI</v>
          </cell>
        </row>
        <row r="163">
          <cell r="C163" t="str">
            <v>TWZ</v>
          </cell>
        </row>
        <row r="164">
          <cell r="C164" t="str">
            <v>UHT</v>
          </cell>
        </row>
        <row r="165">
          <cell r="C165" t="str">
            <v>UTK</v>
          </cell>
        </row>
        <row r="166">
          <cell r="C166" t="str">
            <v>WAI</v>
          </cell>
        </row>
        <row r="167">
          <cell r="C167" t="str">
            <v>WDV</v>
          </cell>
        </row>
        <row r="168">
          <cell r="C168" t="str">
            <v>WEL</v>
          </cell>
        </row>
        <row r="169">
          <cell r="C169" t="str">
            <v>WES</v>
          </cell>
        </row>
        <row r="170">
          <cell r="C170" t="str">
            <v>WGN</v>
          </cell>
        </row>
        <row r="171">
          <cell r="C171" t="str">
            <v>WHI</v>
          </cell>
        </row>
        <row r="172">
          <cell r="C172" t="str">
            <v>WHU</v>
          </cell>
        </row>
        <row r="173">
          <cell r="C173" t="str">
            <v>WIL</v>
          </cell>
        </row>
        <row r="174">
          <cell r="C174" t="str">
            <v>WIR</v>
          </cell>
        </row>
        <row r="175">
          <cell r="C175" t="str">
            <v>WKM</v>
          </cell>
        </row>
        <row r="176">
          <cell r="C176" t="str">
            <v>WKO</v>
          </cell>
        </row>
        <row r="177">
          <cell r="C177" t="str">
            <v>WMG</v>
          </cell>
        </row>
        <row r="178">
          <cell r="C178" t="str">
            <v>WPA</v>
          </cell>
        </row>
        <row r="179">
          <cell r="C179" t="str">
            <v>WPR</v>
          </cell>
        </row>
        <row r="180">
          <cell r="C180" t="str">
            <v>WPT</v>
          </cell>
        </row>
        <row r="181">
          <cell r="C181" t="str">
            <v>WPW</v>
          </cell>
        </row>
        <row r="182">
          <cell r="C182" t="str">
            <v>WRA</v>
          </cell>
        </row>
        <row r="183">
          <cell r="C183" t="str">
            <v>WRK</v>
          </cell>
        </row>
        <row r="184">
          <cell r="C184" t="str">
            <v>WTK</v>
          </cell>
        </row>
        <row r="185">
          <cell r="C185" t="str">
            <v>WTU</v>
          </cell>
        </row>
        <row r="186">
          <cell r="C186" t="str">
            <v>WVY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ow r="9">
          <cell r="C9">
            <v>120</v>
          </cell>
          <cell r="F9">
            <v>645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edule"/>
      <sheetName val="CCA Payment claim document "/>
      <sheetName val="changes_Sept_10"/>
      <sheetName val="DO NOT DELETE"/>
    </sheetNames>
    <sheetDataSet>
      <sheetData sheetId="3">
        <row r="3">
          <cell r="A3">
            <v>40422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ST (1)"/>
      <sheetName val="PST (2)"/>
      <sheetName val="SC (1)"/>
      <sheetName val="SC (2)"/>
      <sheetName val="SVC"/>
      <sheetName val="Statcom"/>
      <sheetName val="Revision notes"/>
      <sheetName val="220kV Options"/>
      <sheetName val="330kV Options"/>
      <sheetName val="400kV Options"/>
      <sheetName val="Variables"/>
      <sheetName val="MasterCost"/>
      <sheetName val="TDHYND200Y3"/>
      <sheetName val="TDFKYY20060Y3"/>
      <sheetName val="TDEKA20060Y3"/>
      <sheetName val="TDEA200Y3"/>
      <sheetName val="CH1N095SS"/>
      <sheetName val="TKNDYN005N3"/>
      <sheetName val="THNDYN005N3"/>
      <sheetName val="THET3"/>
      <sheetName val="THNZN01N3"/>
      <sheetName val="CH4N500T"/>
      <sheetName val="NCT11S"/>
      <sheetName val="PTR201"/>
      <sheetName val="PTR301"/>
      <sheetName val="PTR001"/>
      <sheetName val="PIL001"/>
      <sheetName val="TDEA250Y3"/>
      <sheetName val="TDHYND160Y3_96dBA"/>
      <sheetName val="TDHYND160Y3_74dBA"/>
      <sheetName val="TDHYND80Y3_92dBA"/>
      <sheetName val="TDHYND80Y3_70dBA"/>
      <sheetName val="TDHYND40Y3_88dBA"/>
      <sheetName val="TDHYND40Y3_66dBA"/>
      <sheetName val="TDHYND20Y3_84dBA"/>
      <sheetName val="TDHYND20Y3_62dBA"/>
      <sheetName val="NERD6K"/>
      <sheetName val="NERD3K"/>
      <sheetName val="NERD1K"/>
      <sheetName val="NERD07K"/>
      <sheetName val="NERH42"/>
      <sheetName val="NERH84"/>
      <sheetName val="SE0160"/>
      <sheetName val="Blank"/>
      <sheetName val="TCFKYY200Y3"/>
      <sheetName val="TCFKYY300Y3"/>
      <sheetName val="TCEKYY200Y3"/>
      <sheetName val="TCEKYY300Y3"/>
      <sheetName val="TBFKYY200Y3"/>
      <sheetName val="TBFKYY300Y3"/>
      <sheetName val="TBEKYY200Y3"/>
      <sheetName val="TBEKYY300Y3"/>
      <sheetName val="TCDA200Y3"/>
      <sheetName val="TCDA400Y3"/>
      <sheetName val="TCDA500Y3"/>
      <sheetName val="TCDA600Y3"/>
      <sheetName val="TBDA200Y3"/>
      <sheetName val="TBDA400Y3"/>
      <sheetName val="TBDA500Y3"/>
      <sheetName val="TBDA600Y3"/>
      <sheetName val="TCHYND100Y3"/>
      <sheetName val="TCHYND200Y3"/>
      <sheetName val="TBHYND100Y3"/>
      <sheetName val="TBHYND200Y3"/>
      <sheetName val="CBFLT01"/>
      <sheetName val="CBELT01"/>
      <sheetName val="CBDLT01"/>
      <sheetName val="CBCLT01"/>
      <sheetName val="CBBLT01"/>
      <sheetName val="CBFDT01"/>
      <sheetName val="CBEDT01"/>
      <sheetName val="CBDDT01"/>
      <sheetName val="CBCDT01"/>
      <sheetName val="CBBDT01"/>
      <sheetName val="CBHII01"/>
      <sheetName val="CTF01"/>
      <sheetName val="CTE01"/>
      <sheetName val="CTD01"/>
      <sheetName val="CTC01"/>
      <sheetName val="CTB01"/>
      <sheetName val="VTF01"/>
      <sheetName val="VTE01"/>
      <sheetName val="VTD01"/>
      <sheetName val="VTC01"/>
      <sheetName val="VTB01"/>
      <sheetName val="DISF01"/>
      <sheetName val="DISE01"/>
      <sheetName val="DISD01"/>
      <sheetName val="DISC01"/>
      <sheetName val="DISB01"/>
      <sheetName val="DISCPG"/>
      <sheetName val="DISBPG"/>
      <sheetName val="SAF01"/>
      <sheetName val="SAE01"/>
      <sheetName val="SAD01"/>
      <sheetName val="SAC01"/>
      <sheetName val="SAB01"/>
      <sheetName val="CABD1125"/>
      <sheetName val="CABD2250"/>
      <sheetName val="CABC750"/>
      <sheetName val="CABC1500"/>
      <sheetName val="CABB625"/>
      <sheetName val="CABB1250"/>
      <sheetName val="SWDEST"/>
      <sheetName val="SWCEST"/>
      <sheetName val="SWBEST"/>
      <sheetName val="GISDLI01"/>
      <sheetName val="GISDTX01"/>
      <sheetName val="GISDBS01"/>
      <sheetName val="GISDBLDG"/>
      <sheetName val="GISCLI01"/>
      <sheetName val="GISCTX01"/>
      <sheetName val="GISCBS01"/>
      <sheetName val="GISCBLDG"/>
      <sheetName val="GISBLI01"/>
      <sheetName val="GISBTX01"/>
      <sheetName val="GISBBS01"/>
      <sheetName val="INSD"/>
      <sheetName val="INSC"/>
      <sheetName val="INSB"/>
      <sheetName val="DCDL250-09"/>
      <sheetName val="PST01"/>
      <sheetName val="PST02"/>
      <sheetName val="SC01"/>
      <sheetName val="SC02"/>
      <sheetName val="TX noise"/>
    </sheetNames>
    <sheetDataSet>
      <sheetData sheetId="4">
        <row r="1">
          <cell r="A1" t="str">
            <v>SVC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Summary "/>
      <sheetName val="ODV- Buildup"/>
      <sheetName val="Coding"/>
      <sheetName val="SitesINS"/>
      <sheetName val="Update 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25"/>
  <sheetViews>
    <sheetView zoomScalePageLayoutView="0" workbookViewId="0" topLeftCell="A1">
      <selection activeCell="B121" sqref="B121"/>
    </sheetView>
  </sheetViews>
  <sheetFormatPr defaultColWidth="9.140625" defaultRowHeight="12.75" outlineLevelRow="1"/>
  <cols>
    <col min="3" max="3" width="47.8515625" style="0" bestFit="1" customWidth="1"/>
    <col min="4" max="5" width="9.421875" style="0" customWidth="1"/>
    <col min="6" max="6" width="10.28125" style="0" customWidth="1"/>
    <col min="7" max="7" width="14.140625" style="0" customWidth="1"/>
    <col min="8" max="8" width="12.00390625" style="0" customWidth="1"/>
    <col min="12" max="12" width="32.00390625" style="0" customWidth="1"/>
  </cols>
  <sheetData>
    <row r="1" ht="12.75">
      <c r="A1" s="68" t="s">
        <v>754</v>
      </c>
    </row>
    <row r="2" spans="2:11" ht="12.75">
      <c r="B2" s="68" t="s">
        <v>790</v>
      </c>
      <c r="K2" s="340"/>
    </row>
    <row r="3" spans="2:12" ht="33.75" hidden="1" outlineLevel="1">
      <c r="B3" s="1"/>
      <c r="C3" s="2" t="s">
        <v>0</v>
      </c>
      <c r="D3" s="3" t="s">
        <v>1</v>
      </c>
      <c r="E3" s="4" t="s">
        <v>2</v>
      </c>
      <c r="F3" s="4" t="s">
        <v>3</v>
      </c>
      <c r="G3" s="4" t="s">
        <v>4</v>
      </c>
      <c r="H3" s="4" t="s">
        <v>5</v>
      </c>
      <c r="J3" s="370"/>
      <c r="L3" s="68" t="s">
        <v>35</v>
      </c>
    </row>
    <row r="4" spans="2:14" ht="12.75" hidden="1" outlineLevel="1">
      <c r="B4" s="5"/>
      <c r="C4" s="6"/>
      <c r="D4" s="7"/>
      <c r="E4" s="7"/>
      <c r="F4" s="7"/>
      <c r="G4" s="7"/>
      <c r="H4" s="8"/>
      <c r="L4" s="334" t="s">
        <v>36</v>
      </c>
      <c r="M4" s="332" t="s">
        <v>37</v>
      </c>
      <c r="N4" s="33"/>
    </row>
    <row r="5" spans="2:14" ht="12.75" hidden="1" outlineLevel="1">
      <c r="B5" s="9" t="s">
        <v>6</v>
      </c>
      <c r="C5" s="10" t="s">
        <v>7</v>
      </c>
      <c r="D5" s="11">
        <f>Summary!C6/1000</f>
        <v>3.528127479444</v>
      </c>
      <c r="E5" s="11">
        <f>Summary!D6/1000</f>
        <v>11.000893467</v>
      </c>
      <c r="F5" s="11">
        <f>SUM(F6:F10)</f>
        <v>7.472765987556</v>
      </c>
      <c r="G5" s="11">
        <f>SUM(G6:G10)</f>
        <v>3.8139058052789636</v>
      </c>
      <c r="H5" s="11">
        <f>SUM(H6:H10)</f>
        <v>7.1869876617210355</v>
      </c>
      <c r="L5" s="334" t="s">
        <v>38</v>
      </c>
      <c r="M5" s="332" t="s">
        <v>39</v>
      </c>
      <c r="N5" s="33"/>
    </row>
    <row r="6" spans="2:14" ht="12.75" hidden="1" outlineLevel="1">
      <c r="B6" s="12"/>
      <c r="C6" s="13" t="s">
        <v>8</v>
      </c>
      <c r="D6" s="14">
        <f>Summary!C7/1000</f>
        <v>0.06971221628056937</v>
      </c>
      <c r="E6" s="14">
        <f>Summary!D7/1000</f>
        <v>3.0639876775353057</v>
      </c>
      <c r="F6" s="14">
        <f>E6-D6</f>
        <v>2.994275461254736</v>
      </c>
      <c r="G6" s="14">
        <f>D6*$D$38/$D$37</f>
        <v>0.07535890579929548</v>
      </c>
      <c r="H6" s="14">
        <f>E6-G6</f>
        <v>2.98862877173601</v>
      </c>
      <c r="L6" s="334" t="s">
        <v>40</v>
      </c>
      <c r="M6" s="34">
        <v>39343</v>
      </c>
      <c r="N6" s="33"/>
    </row>
    <row r="7" spans="2:14" ht="12.75" hidden="1" outlineLevel="1">
      <c r="B7" s="15"/>
      <c r="C7" s="13" t="s">
        <v>9</v>
      </c>
      <c r="D7" s="14">
        <f>Summary!C8/1000</f>
        <v>0.27882596360575956</v>
      </c>
      <c r="E7" s="14">
        <f>Summary!D8/1000</f>
        <v>1.7894329653256962</v>
      </c>
      <c r="F7" s="14">
        <f aca="true" t="shared" si="0" ref="F7:F14">E7-D7</f>
        <v>1.5106070017199367</v>
      </c>
      <c r="G7" s="14">
        <f>D7*$D$38/$D$37</f>
        <v>0.30141086665782607</v>
      </c>
      <c r="H7" s="14">
        <f>E7-G7</f>
        <v>1.48802209866787</v>
      </c>
      <c r="L7" s="334" t="s">
        <v>41</v>
      </c>
      <c r="M7" s="35">
        <v>3</v>
      </c>
      <c r="N7" s="33"/>
    </row>
    <row r="8" spans="2:14" ht="12.75" hidden="1" outlineLevel="1">
      <c r="B8" s="15"/>
      <c r="C8" s="13" t="s">
        <v>10</v>
      </c>
      <c r="D8" s="14">
        <f>Summary!C9/1000</f>
        <v>0.17426908994316445</v>
      </c>
      <c r="E8" s="14">
        <f>Summary!D9/1000</f>
        <v>1.7622080695374085</v>
      </c>
      <c r="F8" s="14">
        <f t="shared" si="0"/>
        <v>1.587938979594244</v>
      </c>
      <c r="G8" s="14">
        <f>D8*$D$38/$D$37</f>
        <v>0.18838488622856076</v>
      </c>
      <c r="H8" s="14">
        <f>E8-G8</f>
        <v>1.5738231833088476</v>
      </c>
      <c r="L8" s="334" t="s">
        <v>43</v>
      </c>
      <c r="M8" s="333" t="s">
        <v>44</v>
      </c>
      <c r="N8" s="33"/>
    </row>
    <row r="9" spans="2:14" ht="12.75" hidden="1" outlineLevel="1">
      <c r="B9" s="15"/>
      <c r="C9" s="13" t="s">
        <v>11</v>
      </c>
      <c r="D9" s="14">
        <f>Summary!C10/1000</f>
        <v>1.194611806124619</v>
      </c>
      <c r="E9" s="14">
        <f>Summary!D10/1000</f>
        <v>1.519936138381583</v>
      </c>
      <c r="F9" s="14">
        <f t="shared" si="0"/>
        <v>0.3253243322569641</v>
      </c>
      <c r="G9" s="14">
        <f>D9*$D$38/$D$37</f>
        <v>1.2913753624207132</v>
      </c>
      <c r="H9" s="14">
        <f>E9-G9</f>
        <v>0.22856077596086988</v>
      </c>
      <c r="L9" s="334" t="s">
        <v>45</v>
      </c>
      <c r="M9" s="36">
        <v>38880</v>
      </c>
      <c r="N9" s="33"/>
    </row>
    <row r="10" spans="2:8" ht="12.75" hidden="1" outlineLevel="1">
      <c r="B10" s="15"/>
      <c r="C10" s="13" t="s">
        <v>12</v>
      </c>
      <c r="D10" s="14">
        <f>Summary!C11/1000</f>
        <v>1.8107084034898875</v>
      </c>
      <c r="E10" s="14">
        <f>Summary!D11/1000</f>
        <v>2.8653286162200065</v>
      </c>
      <c r="F10" s="14">
        <f t="shared" si="0"/>
        <v>1.054620212730119</v>
      </c>
      <c r="G10" s="14">
        <f>D10*$D$38/$D$37</f>
        <v>1.9573757841725683</v>
      </c>
      <c r="H10" s="14">
        <f>E10-G10</f>
        <v>0.9079528320474382</v>
      </c>
    </row>
    <row r="11" spans="2:8" ht="12.75" hidden="1" outlineLevel="1">
      <c r="B11" s="16"/>
      <c r="C11" s="6"/>
      <c r="D11" s="7"/>
      <c r="E11" s="7"/>
      <c r="F11" s="7"/>
      <c r="G11" s="7"/>
      <c r="H11" s="8"/>
    </row>
    <row r="12" spans="2:8" ht="12.75" hidden="1" outlineLevel="1">
      <c r="B12" s="17" t="s">
        <v>13</v>
      </c>
      <c r="C12" s="18" t="s">
        <v>14</v>
      </c>
      <c r="D12" s="19">
        <f>Summary!C13/1000</f>
        <v>2.352176656908</v>
      </c>
      <c r="E12" s="19">
        <f>Summary!D13/1000</f>
        <v>4.193227715</v>
      </c>
      <c r="F12" s="19">
        <f>SUM(F13:F14)</f>
        <v>1.841051058092</v>
      </c>
      <c r="G12" s="19">
        <f>SUM(G13:G14)</f>
        <v>2.5427029661175484</v>
      </c>
      <c r="H12" s="19">
        <f>SUM(H13:H14)</f>
        <v>1.6505247488824517</v>
      </c>
    </row>
    <row r="13" spans="2:8" ht="12.75" hidden="1" outlineLevel="1">
      <c r="B13" s="12"/>
      <c r="C13" s="13" t="s">
        <v>15</v>
      </c>
      <c r="D13" s="14">
        <f>Summary!C14/1000</f>
        <v>0.066</v>
      </c>
      <c r="E13" s="14">
        <f>Summary!D14/1000</f>
        <v>2.431648600142938</v>
      </c>
      <c r="F13" s="14">
        <f t="shared" si="0"/>
        <v>2.365648600142938</v>
      </c>
      <c r="G13" s="14">
        <f aca="true" t="shared" si="1" ref="G13:G21">D13*$D$38/$D$37</f>
        <v>0.071346</v>
      </c>
      <c r="H13" s="14">
        <f>E13-G13</f>
        <v>2.360302600142938</v>
      </c>
    </row>
    <row r="14" spans="2:8" ht="12.75" hidden="1" outlineLevel="1">
      <c r="B14" s="15"/>
      <c r="C14" s="13" t="s">
        <v>16</v>
      </c>
      <c r="D14" s="14">
        <f>Summary!C15/1000</f>
        <v>2.286176656908</v>
      </c>
      <c r="E14" s="14">
        <f>Summary!D15/1000</f>
        <v>1.761579114857062</v>
      </c>
      <c r="F14" s="37">
        <f t="shared" si="0"/>
        <v>-0.5245975420509381</v>
      </c>
      <c r="G14" s="14">
        <f t="shared" si="1"/>
        <v>2.4713569661175483</v>
      </c>
      <c r="H14" s="14">
        <f>E14-G14</f>
        <v>-0.7097778512604862</v>
      </c>
    </row>
    <row r="15" spans="2:8" ht="12.75" hidden="1" outlineLevel="1">
      <c r="B15" s="16"/>
      <c r="C15" s="6"/>
      <c r="D15" s="7"/>
      <c r="E15" s="7"/>
      <c r="F15" s="7"/>
      <c r="G15" s="7"/>
      <c r="H15" s="8"/>
    </row>
    <row r="16" spans="2:8" ht="12.75" hidden="1" outlineLevel="1">
      <c r="B16" s="20" t="s">
        <v>17</v>
      </c>
      <c r="C16" s="18" t="s">
        <v>18</v>
      </c>
      <c r="D16" s="19">
        <f>Summary!C17/1000</f>
        <v>2.8074272010140002</v>
      </c>
      <c r="E16" s="19">
        <f>Summary!D17/1000</f>
        <v>7.6699265164</v>
      </c>
      <c r="F16" s="19">
        <f aca="true" t="shared" si="2" ref="F16:F31">E16-D16</f>
        <v>4.862499315386</v>
      </c>
      <c r="G16" s="19">
        <f t="shared" si="1"/>
        <v>3.034828804296134</v>
      </c>
      <c r="H16" s="19">
        <f>E16-G16</f>
        <v>4.635097712103866</v>
      </c>
    </row>
    <row r="17" spans="2:8" ht="12.75" hidden="1" outlineLevel="1">
      <c r="B17" s="21"/>
      <c r="C17" s="6"/>
      <c r="D17" s="7"/>
      <c r="E17" s="7"/>
      <c r="F17" s="7"/>
      <c r="G17" s="7"/>
      <c r="H17" s="8"/>
    </row>
    <row r="18" spans="2:8" ht="12.75" hidden="1" outlineLevel="1">
      <c r="B18" s="22" t="s">
        <v>19</v>
      </c>
      <c r="C18" s="18" t="s">
        <v>20</v>
      </c>
      <c r="D18" s="19">
        <f>Summary!C19/1000</f>
        <v>3.1700936110620006</v>
      </c>
      <c r="E18" s="19">
        <f>Summary!D19/1000</f>
        <v>7.068021251600001</v>
      </c>
      <c r="F18" s="19">
        <f>SUM(F19:F21)</f>
        <v>3.897927640538001</v>
      </c>
      <c r="G18" s="19">
        <f>SUM(G19:G21)</f>
        <v>3.4268711935580223</v>
      </c>
      <c r="H18" s="19">
        <f>SUM(H19:H21)</f>
        <v>3.6411500580419793</v>
      </c>
    </row>
    <row r="19" spans="2:8" ht="12.75" hidden="1" outlineLevel="1">
      <c r="B19" s="23"/>
      <c r="C19" s="13" t="s">
        <v>21</v>
      </c>
      <c r="D19" s="14">
        <f>Summary!C20/1000</f>
        <v>1.2478705388171623</v>
      </c>
      <c r="E19" s="14">
        <f>Summary!D20/1000</f>
        <v>2.147017261812567</v>
      </c>
      <c r="F19" s="14">
        <f t="shared" si="2"/>
        <v>0.8991467229954049</v>
      </c>
      <c r="G19" s="14">
        <f t="shared" si="1"/>
        <v>1.3489480524613522</v>
      </c>
      <c r="H19" s="14">
        <f>E19-G19</f>
        <v>0.798069209351215</v>
      </c>
    </row>
    <row r="20" spans="2:8" ht="12.75" hidden="1" outlineLevel="1">
      <c r="B20" s="24"/>
      <c r="C20" s="13" t="s">
        <v>22</v>
      </c>
      <c r="D20" s="14">
        <f>Summary!C21/1000</f>
        <v>1.6293392543604044</v>
      </c>
      <c r="E20" s="14">
        <f>Summary!D21/1000</f>
        <v>3.935797679159968</v>
      </c>
      <c r="F20" s="14">
        <f t="shared" si="2"/>
        <v>2.3064584247995636</v>
      </c>
      <c r="G20" s="14">
        <f t="shared" si="1"/>
        <v>1.761315733963597</v>
      </c>
      <c r="H20" s="14">
        <f>E20-G20</f>
        <v>2.174481945196371</v>
      </c>
    </row>
    <row r="21" spans="2:8" ht="12.75" hidden="1" outlineLevel="1">
      <c r="B21" s="24"/>
      <c r="C21" s="13" t="s">
        <v>23</v>
      </c>
      <c r="D21" s="14">
        <f>Summary!C22/1000</f>
        <v>0.29288381788443413</v>
      </c>
      <c r="E21" s="14">
        <f>Summary!D22/1000</f>
        <v>0.9852063106274667</v>
      </c>
      <c r="F21" s="14">
        <f t="shared" si="2"/>
        <v>0.6923224927430325</v>
      </c>
      <c r="G21" s="14">
        <f t="shared" si="1"/>
        <v>0.3166074071330733</v>
      </c>
      <c r="H21" s="14">
        <f>E21-G21</f>
        <v>0.6685989034943933</v>
      </c>
    </row>
    <row r="22" spans="2:8" ht="12.75" hidden="1" outlineLevel="1">
      <c r="B22" s="16"/>
      <c r="C22" s="6"/>
      <c r="D22" s="7"/>
      <c r="E22" s="7"/>
      <c r="F22" s="7"/>
      <c r="G22" s="7"/>
      <c r="H22" s="8"/>
    </row>
    <row r="23" spans="2:8" ht="12.75" hidden="1" outlineLevel="1">
      <c r="B23" s="9" t="s">
        <v>24</v>
      </c>
      <c r="C23" s="18" t="s">
        <v>25</v>
      </c>
      <c r="D23" s="19">
        <f>Summary!C24/1000</f>
        <v>3.386042267512</v>
      </c>
      <c r="E23" s="19">
        <f>Summary!D24/1000</f>
        <v>3.9041809733000004</v>
      </c>
      <c r="F23" s="19">
        <f>SUM(F24:F25)</f>
        <v>0.5181387057880007</v>
      </c>
      <c r="G23" s="19">
        <f>SUM(G24:G25)</f>
        <v>3.660311691180472</v>
      </c>
      <c r="H23" s="19">
        <f>SUM(H24:H25)</f>
        <v>0.2438692821195284</v>
      </c>
    </row>
    <row r="24" spans="2:8" ht="12.75" hidden="1" outlineLevel="1">
      <c r="B24" s="23"/>
      <c r="C24" s="13" t="s">
        <v>26</v>
      </c>
      <c r="D24" s="14">
        <f>Summary!C25/1000</f>
        <v>0.5604</v>
      </c>
      <c r="E24" s="14">
        <f>Summary!D25/1000</f>
        <v>0.97122109</v>
      </c>
      <c r="F24" s="14">
        <f t="shared" si="2"/>
        <v>0.41082109</v>
      </c>
      <c r="G24" s="14">
        <f>D24*$D$38/$D$37</f>
        <v>0.6057924</v>
      </c>
      <c r="H24" s="14">
        <f>E24-G24</f>
        <v>0.36542869</v>
      </c>
    </row>
    <row r="25" spans="2:8" ht="12.75" hidden="1" outlineLevel="1">
      <c r="B25" s="24"/>
      <c r="C25" s="13" t="s">
        <v>27</v>
      </c>
      <c r="D25" s="14">
        <f>Summary!C26/1000</f>
        <v>2.825642267512</v>
      </c>
      <c r="E25" s="14">
        <f>Summary!D26/1000</f>
        <v>2.9329598833000006</v>
      </c>
      <c r="F25" s="14">
        <f t="shared" si="2"/>
        <v>0.1073176157880007</v>
      </c>
      <c r="G25" s="14">
        <f>D25*$D$38/$D$37</f>
        <v>3.054519291180472</v>
      </c>
      <c r="H25" s="14">
        <f>E25-G25</f>
        <v>-0.12155940788047159</v>
      </c>
    </row>
    <row r="26" spans="2:8" ht="12.75" hidden="1" outlineLevel="1">
      <c r="B26" s="16"/>
      <c r="C26" s="6"/>
      <c r="D26" s="7"/>
      <c r="E26" s="7"/>
      <c r="F26" s="7"/>
      <c r="G26" s="7"/>
      <c r="H26" s="8"/>
    </row>
    <row r="27" spans="2:8" ht="12.75" hidden="1" outlineLevel="1">
      <c r="B27" s="20" t="s">
        <v>28</v>
      </c>
      <c r="C27" s="18" t="s">
        <v>29</v>
      </c>
      <c r="D27" s="19">
        <f>Summary!C28/1000</f>
        <v>58.163944758060005</v>
      </c>
      <c r="E27" s="19">
        <f>Summary!D28/1000</f>
        <v>64.1986644467</v>
      </c>
      <c r="F27" s="19">
        <f t="shared" si="2"/>
        <v>6.0347196886399885</v>
      </c>
      <c r="G27" s="19">
        <f>D27*$D$38/$D$37</f>
        <v>62.87522428346286</v>
      </c>
      <c r="H27" s="19">
        <f>E27-G27</f>
        <v>1.3234401632371302</v>
      </c>
    </row>
    <row r="28" spans="2:8" ht="12.75" hidden="1" outlineLevel="1">
      <c r="B28" s="21"/>
      <c r="C28" s="6"/>
      <c r="D28" s="7"/>
      <c r="E28" s="7"/>
      <c r="F28" s="7"/>
      <c r="G28" s="7"/>
      <c r="H28" s="8"/>
    </row>
    <row r="29" spans="2:8" ht="12.75" hidden="1" outlineLevel="1">
      <c r="B29" s="25" t="s">
        <v>30</v>
      </c>
      <c r="C29" s="18" t="s">
        <v>31</v>
      </c>
      <c r="D29" s="19">
        <f>Summary!C30/1000</f>
        <v>0</v>
      </c>
      <c r="E29" s="19">
        <f>Summary!D30/1000</f>
        <v>1.2</v>
      </c>
      <c r="F29" s="19">
        <f t="shared" si="2"/>
        <v>1.2</v>
      </c>
      <c r="G29" s="19">
        <f>D29*$D$38/$D$37</f>
        <v>0</v>
      </c>
      <c r="H29" s="19">
        <f>E29-G29</f>
        <v>1.2</v>
      </c>
    </row>
    <row r="30" spans="2:8" ht="12.75" hidden="1" outlineLevel="1">
      <c r="B30" s="21"/>
      <c r="C30" s="6"/>
      <c r="D30" s="7"/>
      <c r="E30" s="7"/>
      <c r="F30" s="7"/>
      <c r="G30" s="7"/>
      <c r="H30" s="8"/>
    </row>
    <row r="31" spans="2:8" ht="12.75" hidden="1" outlineLevel="1">
      <c r="B31" s="25" t="s">
        <v>32</v>
      </c>
      <c r="C31" s="18" t="s">
        <v>33</v>
      </c>
      <c r="D31" s="19">
        <f>Summary!C32/1000</f>
        <v>3.2032699999999994</v>
      </c>
      <c r="E31" s="19">
        <f>Summary!D32/1000</f>
        <v>6.914282720000001</v>
      </c>
      <c r="F31" s="19">
        <f t="shared" si="2"/>
        <v>3.7110127200000016</v>
      </c>
      <c r="G31" s="19">
        <f>D31*$D$38/$D$37</f>
        <v>3.4627348699999994</v>
      </c>
      <c r="H31" s="19">
        <f>E31-G31</f>
        <v>3.4515478500000016</v>
      </c>
    </row>
    <row r="32" spans="2:8" ht="12.75" hidden="1" outlineLevel="1">
      <c r="B32" s="21"/>
      <c r="C32" s="6"/>
      <c r="D32" s="7"/>
      <c r="E32" s="7"/>
      <c r="F32" s="7"/>
      <c r="G32" s="7"/>
      <c r="H32" s="8"/>
    </row>
    <row r="33" spans="2:8" ht="12.75" hidden="1" outlineLevel="1">
      <c r="B33" s="26"/>
      <c r="C33" s="27" t="s">
        <v>34</v>
      </c>
      <c r="D33" s="28">
        <f>D5+D12+D16+D18+D23+D27+D29+D31</f>
        <v>76.61108197400002</v>
      </c>
      <c r="E33" s="28">
        <f>E5+E12+E16+E18+E23+E27+E29+E31</f>
        <v>106.14919709</v>
      </c>
      <c r="F33" s="28">
        <f>F5+F12+F16+F18+F23+F27+F29+F31</f>
        <v>29.538115115999993</v>
      </c>
      <c r="G33" s="28">
        <f>G5+G12+G16+G18+G23+G27+G29+G31</f>
        <v>82.816579613894</v>
      </c>
      <c r="H33" s="28">
        <f>H5+H12+H16+H18+H23+H27+H29+H31</f>
        <v>23.33261747610599</v>
      </c>
    </row>
    <row r="34" spans="2:9" ht="12.75" hidden="1" outlineLevel="1">
      <c r="B34" s="29"/>
      <c r="C34" s="369" t="s">
        <v>738</v>
      </c>
      <c r="D34" s="31">
        <f>Summary!C34/1000-'Tables from Document'!D33</f>
        <v>0</v>
      </c>
      <c r="E34" s="31">
        <f>Summary!D34/1000-'Tables from Document'!E33</f>
        <v>0</v>
      </c>
      <c r="F34" s="31">
        <f>(E33-D33)-F33</f>
        <v>0</v>
      </c>
      <c r="G34" s="31">
        <f>D33*D38/D37-G33</f>
        <v>0</v>
      </c>
      <c r="H34" s="31">
        <f>E33-G33-H33</f>
        <v>0</v>
      </c>
      <c r="I34" s="31">
        <f>SUM(D34:H34)</f>
        <v>0</v>
      </c>
    </row>
    <row r="35" ht="12.75" hidden="1" outlineLevel="1"/>
    <row r="36" ht="12.75" hidden="1" outlineLevel="1">
      <c r="C36" s="335" t="s">
        <v>725</v>
      </c>
    </row>
    <row r="37" spans="3:4" ht="12.75" hidden="1" outlineLevel="1">
      <c r="C37" s="336" t="s">
        <v>46</v>
      </c>
      <c r="D37" s="337">
        <v>1000</v>
      </c>
    </row>
    <row r="38" spans="3:4" ht="12.75" hidden="1" outlineLevel="1">
      <c r="C38" s="336" t="s">
        <v>47</v>
      </c>
      <c r="D38" s="337">
        <v>1081</v>
      </c>
    </row>
    <row r="39" ht="12.75" collapsed="1"/>
    <row r="40" ht="12.75">
      <c r="B40" s="340" t="s">
        <v>791</v>
      </c>
    </row>
    <row r="41" spans="2:5" ht="14.25" customHeight="1" hidden="1" outlineLevel="1">
      <c r="B41" s="350"/>
      <c r="C41" s="432" t="s">
        <v>729</v>
      </c>
      <c r="D41" s="433" t="s">
        <v>730</v>
      </c>
      <c r="E41" s="433" t="s">
        <v>731</v>
      </c>
    </row>
    <row r="42" spans="2:5" ht="14.25" customHeight="1" hidden="1" outlineLevel="1">
      <c r="B42" s="352"/>
      <c r="C42" s="432"/>
      <c r="D42" s="433"/>
      <c r="E42" s="433"/>
    </row>
    <row r="43" spans="2:5" ht="12.75" customHeight="1" hidden="1" outlineLevel="1">
      <c r="B43" s="351" t="s">
        <v>728</v>
      </c>
      <c r="C43" s="432"/>
      <c r="D43" s="433"/>
      <c r="E43" s="433"/>
    </row>
    <row r="44" spans="2:5" ht="15" customHeight="1" hidden="1" outlineLevel="1">
      <c r="B44" s="343">
        <v>39052</v>
      </c>
      <c r="C44" s="344" t="s">
        <v>732</v>
      </c>
      <c r="D44" s="345" t="s">
        <v>733</v>
      </c>
      <c r="E44" s="346" t="s">
        <v>734</v>
      </c>
    </row>
    <row r="45" spans="2:5" ht="14.25" customHeight="1" hidden="1" outlineLevel="1">
      <c r="B45" s="347">
        <v>39295</v>
      </c>
      <c r="C45" s="341" t="s">
        <v>743</v>
      </c>
      <c r="D45" s="348">
        <f>Summary!C34/1000</f>
        <v>76.61108197400002</v>
      </c>
      <c r="E45" s="428"/>
    </row>
    <row r="46" spans="2:5" ht="28.5" customHeight="1" hidden="1" outlineLevel="1">
      <c r="B46" s="343">
        <v>39417</v>
      </c>
      <c r="C46" s="344" t="s">
        <v>735</v>
      </c>
      <c r="D46" s="349">
        <f>'Cost Assignment'!BE19/1000</f>
        <v>81.55807490000001</v>
      </c>
      <c r="E46" s="349">
        <f>D46-D45</f>
        <v>4.946992925999993</v>
      </c>
    </row>
    <row r="47" spans="2:5" ht="42.75" customHeight="1" hidden="1" outlineLevel="1">
      <c r="B47" s="347">
        <v>39722</v>
      </c>
      <c r="C47" s="341" t="s">
        <v>736</v>
      </c>
      <c r="D47" s="348">
        <f>'Cost Assignment'!BO19/1000</f>
        <v>100.273266</v>
      </c>
      <c r="E47" s="348">
        <f>D47-D45</f>
        <v>23.66218402599999</v>
      </c>
    </row>
    <row r="48" spans="2:5" ht="14.25" customHeight="1" hidden="1" outlineLevel="1">
      <c r="B48" s="343">
        <v>41030</v>
      </c>
      <c r="C48" s="344" t="s">
        <v>737</v>
      </c>
      <c r="D48" s="349">
        <f>Summary!D34/1000</f>
        <v>106.14919708999999</v>
      </c>
      <c r="E48" s="349">
        <f>D48-D45</f>
        <v>29.53811511599997</v>
      </c>
    </row>
    <row r="49" ht="12.75" customHeight="1" hidden="1" outlineLevel="1"/>
    <row r="50" ht="12.75" customHeight="1" hidden="1" outlineLevel="1"/>
    <row r="51" ht="12.75" customHeight="1" hidden="1" outlineLevel="1"/>
    <row r="52" ht="12.75" collapsed="1"/>
    <row r="53" ht="12.75">
      <c r="B53" s="340" t="s">
        <v>792</v>
      </c>
    </row>
    <row r="54" spans="2:8" ht="20.25" customHeight="1" hidden="1" outlineLevel="1">
      <c r="B54" s="434"/>
      <c r="C54" s="353" t="s">
        <v>739</v>
      </c>
      <c r="D54" s="431" t="s">
        <v>1</v>
      </c>
      <c r="E54" s="431" t="s">
        <v>2</v>
      </c>
      <c r="F54" s="431" t="s">
        <v>3</v>
      </c>
      <c r="G54" s="431" t="s">
        <v>741</v>
      </c>
      <c r="H54" s="431" t="s">
        <v>5</v>
      </c>
    </row>
    <row r="55" spans="2:8" ht="12.75" hidden="1" outlineLevel="1">
      <c r="B55" s="434"/>
      <c r="C55" s="353" t="s">
        <v>740</v>
      </c>
      <c r="D55" s="431"/>
      <c r="E55" s="431"/>
      <c r="F55" s="431"/>
      <c r="G55" s="431"/>
      <c r="H55" s="431"/>
    </row>
    <row r="56" spans="2:8" ht="12.75" hidden="1" outlineLevel="1">
      <c r="B56" s="354"/>
      <c r="C56" s="355"/>
      <c r="D56" s="356"/>
      <c r="E56" s="356"/>
      <c r="F56" s="356"/>
      <c r="G56" s="356"/>
      <c r="H56" s="357"/>
    </row>
    <row r="57" spans="2:8" ht="12.75" hidden="1" outlineLevel="1">
      <c r="B57" s="358" t="s">
        <v>6</v>
      </c>
      <c r="C57" s="359" t="s">
        <v>7</v>
      </c>
      <c r="D57" s="371">
        <f>D5</f>
        <v>3.528127479444</v>
      </c>
      <c r="E57" s="371">
        <f>E5</f>
        <v>11.000893467</v>
      </c>
      <c r="F57" s="371">
        <f>F5</f>
        <v>7.472765987556</v>
      </c>
      <c r="G57" s="371">
        <f>G5</f>
        <v>3.8139058052789636</v>
      </c>
      <c r="H57" s="371">
        <f>H5</f>
        <v>7.1869876617210355</v>
      </c>
    </row>
    <row r="58" spans="2:8" ht="12.75" hidden="1" outlineLevel="1">
      <c r="B58" s="360" t="s">
        <v>13</v>
      </c>
      <c r="C58" s="361" t="s">
        <v>14</v>
      </c>
      <c r="D58" s="372">
        <f>D12</f>
        <v>2.352176656908</v>
      </c>
      <c r="E58" s="372">
        <f>E12</f>
        <v>4.193227715</v>
      </c>
      <c r="F58" s="372">
        <f>F12</f>
        <v>1.841051058092</v>
      </c>
      <c r="G58" s="372">
        <f>G12</f>
        <v>2.5427029661175484</v>
      </c>
      <c r="H58" s="372">
        <f>H12</f>
        <v>1.6505247488824517</v>
      </c>
    </row>
    <row r="59" spans="2:8" ht="12.75" hidden="1" outlineLevel="1">
      <c r="B59" s="358" t="s">
        <v>17</v>
      </c>
      <c r="C59" s="359" t="s">
        <v>18</v>
      </c>
      <c r="D59" s="371">
        <f>D16</f>
        <v>2.8074272010140002</v>
      </c>
      <c r="E59" s="371">
        <f>E16</f>
        <v>7.6699265164</v>
      </c>
      <c r="F59" s="371">
        <f>F16</f>
        <v>4.862499315386</v>
      </c>
      <c r="G59" s="371">
        <f>G16</f>
        <v>3.034828804296134</v>
      </c>
      <c r="H59" s="371">
        <f>H16</f>
        <v>4.635097712103866</v>
      </c>
    </row>
    <row r="60" spans="2:8" ht="12.75" hidden="1" outlineLevel="1">
      <c r="B60" s="362" t="s">
        <v>19</v>
      </c>
      <c r="C60" s="361" t="s">
        <v>20</v>
      </c>
      <c r="D60" s="372">
        <f>D18</f>
        <v>3.1700936110620006</v>
      </c>
      <c r="E60" s="372">
        <f>E18</f>
        <v>7.068021251600001</v>
      </c>
      <c r="F60" s="372">
        <f>F18</f>
        <v>3.897927640538001</v>
      </c>
      <c r="G60" s="372">
        <f>G18</f>
        <v>3.4268711935580223</v>
      </c>
      <c r="H60" s="372">
        <f>H18</f>
        <v>3.6411500580419793</v>
      </c>
    </row>
    <row r="61" spans="2:8" ht="12.75" hidden="1" outlineLevel="1">
      <c r="B61" s="358" t="s">
        <v>24</v>
      </c>
      <c r="C61" s="359" t="s">
        <v>25</v>
      </c>
      <c r="D61" s="371">
        <f>D23</f>
        <v>3.386042267512</v>
      </c>
      <c r="E61" s="371">
        <f>E23</f>
        <v>3.9041809733000004</v>
      </c>
      <c r="F61" s="371">
        <f>F23</f>
        <v>0.5181387057880007</v>
      </c>
      <c r="G61" s="371">
        <f>G23</f>
        <v>3.660311691180472</v>
      </c>
      <c r="H61" s="371">
        <f>H23</f>
        <v>0.2438692821195284</v>
      </c>
    </row>
    <row r="62" spans="2:8" ht="12.75" hidden="1" outlineLevel="1">
      <c r="B62" s="362" t="s">
        <v>28</v>
      </c>
      <c r="C62" s="361" t="s">
        <v>29</v>
      </c>
      <c r="D62" s="372">
        <f>D27</f>
        <v>58.163944758060005</v>
      </c>
      <c r="E62" s="372">
        <f>E27</f>
        <v>64.1986644467</v>
      </c>
      <c r="F62" s="372">
        <f>F27</f>
        <v>6.0347196886399885</v>
      </c>
      <c r="G62" s="372">
        <f>G27</f>
        <v>62.87522428346286</v>
      </c>
      <c r="H62" s="372">
        <f>H27</f>
        <v>1.3234401632371302</v>
      </c>
    </row>
    <row r="63" spans="2:8" ht="12.75" hidden="1" outlineLevel="1">
      <c r="B63" s="358" t="s">
        <v>30</v>
      </c>
      <c r="C63" s="359" t="s">
        <v>31</v>
      </c>
      <c r="D63" s="371">
        <f>D29</f>
        <v>0</v>
      </c>
      <c r="E63" s="371">
        <f>E29</f>
        <v>1.2</v>
      </c>
      <c r="F63" s="371">
        <f>F29</f>
        <v>1.2</v>
      </c>
      <c r="G63" s="371">
        <f>G29</f>
        <v>0</v>
      </c>
      <c r="H63" s="371">
        <f>H29</f>
        <v>1.2</v>
      </c>
    </row>
    <row r="64" spans="2:8" ht="12.75" hidden="1" outlineLevel="1">
      <c r="B64" s="362" t="s">
        <v>32</v>
      </c>
      <c r="C64" s="361" t="s">
        <v>33</v>
      </c>
      <c r="D64" s="372">
        <f>D31</f>
        <v>3.2032699999999994</v>
      </c>
      <c r="E64" s="372">
        <f>E31</f>
        <v>6.914282720000001</v>
      </c>
      <c r="F64" s="372">
        <f>F31</f>
        <v>3.7110127200000016</v>
      </c>
      <c r="G64" s="372">
        <f>G31</f>
        <v>3.4627348699999994</v>
      </c>
      <c r="H64" s="372">
        <f>H31</f>
        <v>3.4515478500000016</v>
      </c>
    </row>
    <row r="65" spans="2:8" ht="14.25" hidden="1" outlineLevel="1">
      <c r="B65" s="363"/>
      <c r="C65" s="341"/>
      <c r="D65" s="341"/>
      <c r="E65" s="341"/>
      <c r="F65" s="341"/>
      <c r="G65" s="341"/>
      <c r="H65" s="363"/>
    </row>
    <row r="66" spans="2:8" ht="12.75" hidden="1" outlineLevel="1">
      <c r="B66" s="354"/>
      <c r="C66" s="364" t="s">
        <v>34</v>
      </c>
      <c r="D66" s="373">
        <f>D33</f>
        <v>76.61108197400002</v>
      </c>
      <c r="E66" s="373">
        <f>E33</f>
        <v>106.14919709</v>
      </c>
      <c r="F66" s="373">
        <f>F33</f>
        <v>29.538115115999993</v>
      </c>
      <c r="G66" s="373">
        <f>G33</f>
        <v>82.816579613894</v>
      </c>
      <c r="H66" s="373">
        <f>H33</f>
        <v>23.33261747610599</v>
      </c>
    </row>
    <row r="67" ht="12.75" hidden="1" outlineLevel="1"/>
    <row r="68" ht="12.75" hidden="1" outlineLevel="1"/>
    <row r="69" ht="12.75" collapsed="1"/>
    <row r="70" ht="12.75">
      <c r="B70" s="340" t="s">
        <v>794</v>
      </c>
    </row>
    <row r="71" spans="2:5" ht="25.5" hidden="1" outlineLevel="1">
      <c r="B71" s="342" t="s">
        <v>728</v>
      </c>
      <c r="C71" s="342" t="s">
        <v>153</v>
      </c>
      <c r="D71" s="365" t="s">
        <v>730</v>
      </c>
      <c r="E71" s="365" t="s">
        <v>742</v>
      </c>
    </row>
    <row r="72" spans="2:5" ht="14.25" hidden="1" outlineLevel="1">
      <c r="B72" s="343">
        <v>39295</v>
      </c>
      <c r="C72" s="344" t="s">
        <v>743</v>
      </c>
      <c r="D72" s="349">
        <f>Summary!C6/1000</f>
        <v>3.528127479444</v>
      </c>
      <c r="E72" s="345" t="s">
        <v>734</v>
      </c>
    </row>
    <row r="73" spans="2:5" ht="28.5" hidden="1" outlineLevel="1">
      <c r="B73" s="347">
        <v>39417</v>
      </c>
      <c r="C73" s="341" t="s">
        <v>744</v>
      </c>
      <c r="D73" s="348">
        <f>'Cost Assignment'!BE6/1000</f>
        <v>4.93526530768</v>
      </c>
      <c r="E73" s="348">
        <f>D73-D72</f>
        <v>1.4071378282359999</v>
      </c>
    </row>
    <row r="74" spans="2:5" ht="28.5" hidden="1" outlineLevel="1">
      <c r="B74" s="343">
        <v>39722</v>
      </c>
      <c r="C74" s="344" t="s">
        <v>745</v>
      </c>
      <c r="D74" s="349">
        <f>'Cost Assignment'!BO6/1000</f>
        <v>9.65845936</v>
      </c>
      <c r="E74" s="349">
        <f>D74-D72</f>
        <v>6.130331880556</v>
      </c>
    </row>
    <row r="75" spans="2:5" ht="14.25" hidden="1" outlineLevel="1">
      <c r="B75" s="347">
        <v>41030</v>
      </c>
      <c r="C75" s="341" t="s">
        <v>737</v>
      </c>
      <c r="D75" s="348">
        <f>Summary!D6/1000</f>
        <v>11.000893467</v>
      </c>
      <c r="E75" s="348">
        <f>D75-D72</f>
        <v>7.472765987555999</v>
      </c>
    </row>
    <row r="76" ht="12.75" hidden="1" outlineLevel="1"/>
    <row r="77" ht="12.75" collapsed="1"/>
    <row r="78" ht="12.75">
      <c r="B78" s="340" t="s">
        <v>746</v>
      </c>
    </row>
    <row r="79" spans="3:6" ht="25.5" hidden="1" outlineLevel="1">
      <c r="C79" s="342" t="s">
        <v>153</v>
      </c>
      <c r="D79" s="365" t="s">
        <v>743</v>
      </c>
      <c r="E79" s="365" t="s">
        <v>2</v>
      </c>
      <c r="F79" s="418" t="s">
        <v>152</v>
      </c>
    </row>
    <row r="80" spans="3:6" ht="14.25" hidden="1" outlineLevel="1">
      <c r="C80" s="344" t="s">
        <v>8</v>
      </c>
      <c r="D80" s="374">
        <f>Summary!C7</f>
        <v>69.71221628056936</v>
      </c>
      <c r="E80" s="374">
        <f>Summary!D7</f>
        <v>3063.9876775353055</v>
      </c>
      <c r="F80" s="374">
        <f aca="true" t="shared" si="3" ref="F80:F85">E80-D80</f>
        <v>2994.275461254736</v>
      </c>
    </row>
    <row r="81" spans="3:6" ht="14.25" hidden="1" outlineLevel="1">
      <c r="C81" s="341" t="s">
        <v>10</v>
      </c>
      <c r="D81" s="375">
        <f>Summary!C9</f>
        <v>174.26908994316446</v>
      </c>
      <c r="E81" s="375">
        <f>Summary!D9</f>
        <v>1762.2080695374084</v>
      </c>
      <c r="F81" s="375">
        <f t="shared" si="3"/>
        <v>1587.9389795942438</v>
      </c>
    </row>
    <row r="82" spans="3:6" ht="14.25" hidden="1" outlineLevel="1">
      <c r="C82" s="344" t="s">
        <v>9</v>
      </c>
      <c r="D82" s="374">
        <f>Summary!C8</f>
        <v>278.82596360575957</v>
      </c>
      <c r="E82" s="374">
        <f>Summary!D8</f>
        <v>1789.4329653256962</v>
      </c>
      <c r="F82" s="374">
        <f t="shared" si="3"/>
        <v>1510.6070017199365</v>
      </c>
    </row>
    <row r="83" spans="3:6" ht="14.25" hidden="1" outlineLevel="1">
      <c r="C83" s="341" t="s">
        <v>11</v>
      </c>
      <c r="D83" s="375">
        <f>Summary!C10</f>
        <v>1194.6118061246189</v>
      </c>
      <c r="E83" s="375">
        <f>Summary!D10</f>
        <v>1519.936138381583</v>
      </c>
      <c r="F83" s="375">
        <f t="shared" si="3"/>
        <v>325.3243322569642</v>
      </c>
    </row>
    <row r="84" spans="3:6" ht="14.25" hidden="1" outlineLevel="1">
      <c r="C84" s="344" t="s">
        <v>12</v>
      </c>
      <c r="D84" s="374">
        <f>Summary!C11</f>
        <v>1810.7084034898876</v>
      </c>
      <c r="E84" s="374">
        <f>Summary!D11</f>
        <v>2865.3286162200066</v>
      </c>
      <c r="F84" s="374">
        <f t="shared" si="3"/>
        <v>1054.620212730119</v>
      </c>
    </row>
    <row r="85" spans="3:6" ht="15" hidden="1" outlineLevel="1">
      <c r="C85" s="366" t="s">
        <v>747</v>
      </c>
      <c r="D85" s="376">
        <f>Summary!C6</f>
        <v>3528.127479444</v>
      </c>
      <c r="E85" s="376">
        <f>Summary!D6</f>
        <v>11000.893467</v>
      </c>
      <c r="F85" s="376">
        <f t="shared" si="3"/>
        <v>7472.765987556</v>
      </c>
    </row>
    <row r="86" ht="12.75" hidden="1" outlineLevel="1"/>
    <row r="87" ht="12.75" hidden="1" outlineLevel="1"/>
    <row r="88" ht="12.75" collapsed="1"/>
    <row r="89" ht="12.75">
      <c r="B89" s="340" t="s">
        <v>793</v>
      </c>
    </row>
    <row r="90" spans="2:5" ht="12.75" hidden="1" outlineLevel="1">
      <c r="B90" s="342" t="s">
        <v>728</v>
      </c>
      <c r="C90" s="342" t="s">
        <v>153</v>
      </c>
      <c r="D90" s="365" t="s">
        <v>730</v>
      </c>
      <c r="E90" s="365" t="s">
        <v>152</v>
      </c>
    </row>
    <row r="91" spans="2:5" ht="14.25" hidden="1" outlineLevel="1">
      <c r="B91" s="343">
        <v>39295</v>
      </c>
      <c r="C91" s="344" t="s">
        <v>743</v>
      </c>
      <c r="D91" s="374">
        <f>Summary!C13</f>
        <v>2352.176656908</v>
      </c>
      <c r="E91" s="345" t="s">
        <v>734</v>
      </c>
    </row>
    <row r="92" spans="2:5" ht="28.5" hidden="1" outlineLevel="1">
      <c r="B92" s="347">
        <v>39417</v>
      </c>
      <c r="C92" s="341" t="s">
        <v>748</v>
      </c>
      <c r="D92" s="375">
        <f>'Cost Assignment'!BE7</f>
        <v>3436.1052532000003</v>
      </c>
      <c r="E92" s="375">
        <f>D92-D91</f>
        <v>1083.9285962920003</v>
      </c>
    </row>
    <row r="93" spans="2:5" ht="28.5" hidden="1" outlineLevel="1">
      <c r="B93" s="343">
        <v>39722</v>
      </c>
      <c r="C93" s="344" t="s">
        <v>749</v>
      </c>
      <c r="D93" s="374">
        <f>'Cost Assignment'!BO7</f>
        <v>4021.3664</v>
      </c>
      <c r="E93" s="374">
        <f>D93-D91</f>
        <v>1669.1897430919998</v>
      </c>
    </row>
    <row r="94" spans="2:5" ht="14.25" hidden="1" outlineLevel="1">
      <c r="B94" s="347">
        <v>41030</v>
      </c>
      <c r="C94" s="341" t="s">
        <v>737</v>
      </c>
      <c r="D94" s="375">
        <f>'Cost Assignment'!F7</f>
        <v>4193.227715</v>
      </c>
      <c r="E94" s="375">
        <f>D94-D91</f>
        <v>1841.051058092</v>
      </c>
    </row>
    <row r="95" ht="12.75" hidden="1" outlineLevel="1"/>
    <row r="96" ht="12.75" collapsed="1"/>
    <row r="97" ht="12.75">
      <c r="B97" s="340" t="s">
        <v>795</v>
      </c>
    </row>
    <row r="98" spans="2:5" ht="12.75" hidden="1" outlineLevel="1">
      <c r="B98" s="342" t="s">
        <v>728</v>
      </c>
      <c r="C98" s="342" t="s">
        <v>153</v>
      </c>
      <c r="D98" s="365" t="s">
        <v>730</v>
      </c>
      <c r="E98" s="365" t="s">
        <v>152</v>
      </c>
    </row>
    <row r="99" spans="2:5" ht="14.25" hidden="1" outlineLevel="1">
      <c r="B99" s="343">
        <v>39295</v>
      </c>
      <c r="C99" s="344" t="s">
        <v>743</v>
      </c>
      <c r="D99" s="374">
        <f>'Cost Assignment'!E8</f>
        <v>2807.4272010140003</v>
      </c>
      <c r="E99" s="374" t="s">
        <v>734</v>
      </c>
    </row>
    <row r="100" spans="2:5" ht="14.25" hidden="1" outlineLevel="1">
      <c r="B100" s="347">
        <v>39417</v>
      </c>
      <c r="C100" s="341" t="s">
        <v>750</v>
      </c>
      <c r="D100" s="375">
        <f>'Cost Assignment'!BE8</f>
        <v>3177.8227595999997</v>
      </c>
      <c r="E100" s="375">
        <f>D100-D99</f>
        <v>370.3955585859994</v>
      </c>
    </row>
    <row r="101" spans="2:5" ht="28.5" hidden="1" outlineLevel="1">
      <c r="B101" s="343">
        <v>39722</v>
      </c>
      <c r="C101" s="344" t="s">
        <v>749</v>
      </c>
      <c r="D101" s="374">
        <f>'Cost Assignment'!BO8</f>
        <v>5380.5491999999995</v>
      </c>
      <c r="E101" s="374">
        <f>D101-D99</f>
        <v>2573.121998985999</v>
      </c>
    </row>
    <row r="102" spans="2:5" ht="14.25" hidden="1" outlineLevel="1">
      <c r="B102" s="347">
        <v>41030</v>
      </c>
      <c r="C102" s="341" t="s">
        <v>737</v>
      </c>
      <c r="D102" s="375">
        <f>'Cost Assignment'!F8</f>
        <v>7669.926516400001</v>
      </c>
      <c r="E102" s="375">
        <f>D102-D99</f>
        <v>4862.4993153860005</v>
      </c>
    </row>
    <row r="103" ht="12.75" hidden="1" outlineLevel="1"/>
    <row r="104" ht="12.75" collapsed="1"/>
    <row r="105" ht="12.75">
      <c r="B105" s="340" t="s">
        <v>796</v>
      </c>
    </row>
    <row r="106" spans="2:5" ht="12.75" hidden="1" outlineLevel="1">
      <c r="B106" s="342" t="s">
        <v>728</v>
      </c>
      <c r="C106" s="342" t="s">
        <v>153</v>
      </c>
      <c r="D106" s="365" t="s">
        <v>730</v>
      </c>
      <c r="E106" s="365" t="s">
        <v>152</v>
      </c>
    </row>
    <row r="107" spans="2:5" ht="14.25" hidden="1" outlineLevel="1">
      <c r="B107" s="343">
        <v>39295</v>
      </c>
      <c r="C107" s="344" t="s">
        <v>743</v>
      </c>
      <c r="D107" s="374">
        <f>'Cost Assignment'!E9</f>
        <v>3170.0936110620005</v>
      </c>
      <c r="E107" s="374" t="s">
        <v>734</v>
      </c>
    </row>
    <row r="108" spans="2:5" ht="14.25" hidden="1" outlineLevel="1">
      <c r="B108" s="347">
        <v>39417</v>
      </c>
      <c r="C108" s="341" t="s">
        <v>750</v>
      </c>
      <c r="D108" s="375">
        <f>'Cost Assignment'!BE9</f>
        <v>3758.5821089600004</v>
      </c>
      <c r="E108" s="375">
        <f>D108-D107</f>
        <v>588.4884978979999</v>
      </c>
    </row>
    <row r="109" spans="2:5" ht="28.5" hidden="1" outlineLevel="1">
      <c r="B109" s="343">
        <v>39722</v>
      </c>
      <c r="C109" s="344" t="s">
        <v>751</v>
      </c>
      <c r="D109" s="374">
        <f>'Cost Assignment'!BO9</f>
        <v>4384.23592</v>
      </c>
      <c r="E109" s="374">
        <f>D109-D107</f>
        <v>1214.1423089379996</v>
      </c>
    </row>
    <row r="110" spans="2:5" ht="14.25" hidden="1" outlineLevel="1">
      <c r="B110" s="347">
        <v>41030</v>
      </c>
      <c r="C110" s="341" t="s">
        <v>737</v>
      </c>
      <c r="D110" s="375">
        <f>'Cost Assignment'!F9</f>
        <v>7068.021251600001</v>
      </c>
      <c r="E110" s="375">
        <f>D110-D107</f>
        <v>3897.9276405380006</v>
      </c>
    </row>
    <row r="111" ht="12.75" hidden="1" outlineLevel="1"/>
    <row r="112" ht="12.75" collapsed="1"/>
    <row r="113" ht="12.75">
      <c r="B113" s="340" t="s">
        <v>797</v>
      </c>
    </row>
    <row r="114" spans="3:6" ht="25.5" hidden="1" outlineLevel="1">
      <c r="C114" s="342" t="s">
        <v>153</v>
      </c>
      <c r="D114" s="365" t="s">
        <v>743</v>
      </c>
      <c r="E114" s="365" t="s">
        <v>2</v>
      </c>
      <c r="F114" s="365" t="s">
        <v>152</v>
      </c>
    </row>
    <row r="115" spans="3:6" ht="14.25" hidden="1" outlineLevel="1">
      <c r="C115" s="344" t="s">
        <v>58</v>
      </c>
      <c r="D115" s="374">
        <f>'Cost Assignment'!E141</f>
        <v>1247.8705388171622</v>
      </c>
      <c r="E115" s="374">
        <f>'Cost Assignment'!F141</f>
        <v>2147.017261812567</v>
      </c>
      <c r="F115" s="374">
        <f>E115-D115</f>
        <v>899.1467229954048</v>
      </c>
    </row>
    <row r="116" spans="3:6" ht="14.25" hidden="1" outlineLevel="1">
      <c r="C116" s="341" t="s">
        <v>22</v>
      </c>
      <c r="D116" s="375">
        <f>'Cost Assignment'!E142</f>
        <v>1629.3392543604043</v>
      </c>
      <c r="E116" s="375">
        <f>'Cost Assignment'!F142</f>
        <v>3935.7976791599676</v>
      </c>
      <c r="F116" s="375">
        <f>E116-D116</f>
        <v>2306.4584247995635</v>
      </c>
    </row>
    <row r="117" spans="3:6" ht="14.25" hidden="1" outlineLevel="1">
      <c r="C117" s="344" t="s">
        <v>53</v>
      </c>
      <c r="D117" s="374">
        <f>'Cost Assignment'!E143</f>
        <v>292.8838178844341</v>
      </c>
      <c r="E117" s="374">
        <f>'Cost Assignment'!F143</f>
        <v>985.2063106274667</v>
      </c>
      <c r="F117" s="374">
        <f>E117-D117</f>
        <v>692.3224927430326</v>
      </c>
    </row>
    <row r="118" spans="3:6" ht="15" hidden="1" outlineLevel="1">
      <c r="C118" s="366" t="s">
        <v>747</v>
      </c>
      <c r="D118" s="376">
        <f>SUM(D115:D117)</f>
        <v>3170.0936110620005</v>
      </c>
      <c r="E118" s="376">
        <f>SUM(E115:E117)</f>
        <v>7068.021251600001</v>
      </c>
      <c r="F118" s="376">
        <f>E118-D118</f>
        <v>3897.9276405380006</v>
      </c>
    </row>
    <row r="119" ht="18" hidden="1" outlineLevel="1">
      <c r="B119" s="367"/>
    </row>
    <row r="120" ht="12.75" collapsed="1"/>
    <row r="121" ht="15">
      <c r="B121" s="368" t="s">
        <v>798</v>
      </c>
    </row>
    <row r="122" spans="2:5" ht="12.75" hidden="1" outlineLevel="1">
      <c r="B122" s="342" t="s">
        <v>728</v>
      </c>
      <c r="C122" s="342" t="s">
        <v>153</v>
      </c>
      <c r="D122" s="365" t="s">
        <v>730</v>
      </c>
      <c r="E122" s="365" t="s">
        <v>152</v>
      </c>
    </row>
    <row r="123" spans="2:5" ht="14.25" hidden="1" outlineLevel="1">
      <c r="B123" s="343">
        <v>39295</v>
      </c>
      <c r="C123" s="344" t="s">
        <v>743</v>
      </c>
      <c r="D123" s="374">
        <f>Summary!C28</f>
        <v>58163.94475806</v>
      </c>
      <c r="E123" s="374" t="s">
        <v>734</v>
      </c>
    </row>
    <row r="124" spans="2:5" ht="28.5" hidden="1" outlineLevel="1">
      <c r="B124" s="347">
        <v>39722</v>
      </c>
      <c r="C124" s="341" t="s">
        <v>753</v>
      </c>
      <c r="D124" s="375">
        <f>'Cost Assignment'!BO11</f>
        <v>62080.00113</v>
      </c>
      <c r="E124" s="375" t="s">
        <v>752</v>
      </c>
    </row>
    <row r="125" spans="2:5" ht="14.25" hidden="1" outlineLevel="1">
      <c r="B125" s="343">
        <v>41030</v>
      </c>
      <c r="C125" s="344" t="s">
        <v>737</v>
      </c>
      <c r="D125" s="374">
        <f>Summary!D28</f>
        <v>64198.66444669999</v>
      </c>
      <c r="E125" s="374">
        <f>D125-D123</f>
        <v>6034.719688639991</v>
      </c>
    </row>
    <row r="126" ht="12.75" collapsed="1"/>
  </sheetData>
  <sheetProtection/>
  <mergeCells count="9">
    <mergeCell ref="H54:H55"/>
    <mergeCell ref="C41:C43"/>
    <mergeCell ref="D41:D43"/>
    <mergeCell ref="E41:E43"/>
    <mergeCell ref="B54:B55"/>
    <mergeCell ref="D54:D55"/>
    <mergeCell ref="E54:E55"/>
    <mergeCell ref="F54:F55"/>
    <mergeCell ref="G54:G55"/>
  </mergeCells>
  <conditionalFormatting sqref="D34:E34">
    <cfRule type="cellIs" priority="5" dxfId="0" operator="notEqual">
      <formula>0</formula>
    </cfRule>
  </conditionalFormatting>
  <conditionalFormatting sqref="F34">
    <cfRule type="cellIs" priority="4" dxfId="0" operator="notEqual">
      <formula>0</formula>
    </cfRule>
  </conditionalFormatting>
  <conditionalFormatting sqref="G34">
    <cfRule type="cellIs" priority="3" dxfId="0" operator="notEqual">
      <formula>0</formula>
    </cfRule>
  </conditionalFormatting>
  <conditionalFormatting sqref="H34">
    <cfRule type="cellIs" priority="2" dxfId="0" operator="notEqual">
      <formula>0</formula>
    </cfRule>
  </conditionalFormatting>
  <conditionalFormatting sqref="I34">
    <cfRule type="cellIs" priority="1" dxfId="0" operator="notEqual">
      <formula>0</formula>
    </cfRule>
  </conditionalFormatting>
  <hyperlinks>
    <hyperlink ref="E41" r:id="rId1" display="_ftn1"/>
    <hyperlink ref="C45" r:id="rId2" display="_ftn2"/>
    <hyperlink ref="G54" r:id="rId3" display="_ftn1"/>
    <hyperlink ref="F79" r:id="rId4" display="_ftn1"/>
  </hyperlinks>
  <printOptions/>
  <pageMargins left="0.7" right="0.7" top="0.75" bottom="0.75" header="0.3" footer="0.3"/>
  <pageSetup horizontalDpi="600" verticalDpi="600" orientation="portrait" paperSize="9" r:id="rId5"/>
</worksheet>
</file>

<file path=xl/worksheets/sheet10.xml><?xml version="1.0" encoding="utf-8"?>
<worksheet xmlns="http://schemas.openxmlformats.org/spreadsheetml/2006/main" xmlns:r="http://schemas.openxmlformats.org/officeDocument/2006/relationships">
  <sheetPr>
    <tabColor indexed="44"/>
    <pageSetUpPr fitToPage="1"/>
  </sheetPr>
  <dimension ref="A1:IU84"/>
  <sheetViews>
    <sheetView zoomScalePageLayoutView="0" workbookViewId="0" topLeftCell="A1">
      <selection activeCell="A1" sqref="A1"/>
    </sheetView>
  </sheetViews>
  <sheetFormatPr defaultColWidth="9.140625" defaultRowHeight="12.75"/>
  <cols>
    <col min="1" max="1" width="2.8515625" style="109" customWidth="1"/>
    <col min="2" max="2" width="49.00390625" style="109" customWidth="1"/>
    <col min="3" max="3" width="11.8515625" style="110" hidden="1" customWidth="1"/>
    <col min="4" max="4" width="12.00390625" style="114" bestFit="1" customWidth="1"/>
    <col min="5" max="5" width="14.8515625" style="151" customWidth="1"/>
    <col min="6" max="6" width="13.140625" style="114" bestFit="1" customWidth="1"/>
    <col min="7" max="7" width="13.7109375" style="114" customWidth="1"/>
    <col min="8" max="8" width="12.7109375" style="114" customWidth="1"/>
    <col min="9" max="9" width="12.421875" style="114" customWidth="1"/>
    <col min="10" max="10" width="13.8515625" style="151" customWidth="1"/>
    <col min="11" max="11" width="10.7109375" style="145" customWidth="1"/>
    <col min="12" max="14" width="14.421875" style="145" customWidth="1"/>
    <col min="15" max="15" width="12.28125" style="145" customWidth="1"/>
    <col min="16" max="16" width="17.421875" style="145" bestFit="1" customWidth="1"/>
    <col min="17" max="17" width="12.7109375" style="145" customWidth="1"/>
    <col min="18" max="18" width="13.8515625" style="145" bestFit="1" customWidth="1"/>
    <col min="19" max="19" width="34.7109375" style="109" customWidth="1"/>
    <col min="20" max="20" width="29.57421875" style="109" customWidth="1"/>
    <col min="21" max="21" width="11.28125" style="151" bestFit="1" customWidth="1"/>
    <col min="22" max="16384" width="9.140625" style="109" customWidth="1"/>
  </cols>
  <sheetData>
    <row r="1" spans="2:18" ht="12.75">
      <c r="B1" s="401" t="s">
        <v>771</v>
      </c>
      <c r="D1" s="111"/>
      <c r="E1" s="112" t="s">
        <v>328</v>
      </c>
      <c r="F1" s="113"/>
      <c r="J1" s="115"/>
      <c r="K1" s="116"/>
      <c r="L1" s="116"/>
      <c r="M1" s="116"/>
      <c r="N1" s="116"/>
      <c r="O1" s="116"/>
      <c r="P1" s="116"/>
      <c r="Q1" s="116"/>
      <c r="R1" s="109"/>
    </row>
    <row r="2" spans="2:19" ht="12.75">
      <c r="B2" s="409" t="s">
        <v>775</v>
      </c>
      <c r="D2" s="111"/>
      <c r="E2" s="111"/>
      <c r="F2" s="113"/>
      <c r="J2" s="115"/>
      <c r="K2" s="116"/>
      <c r="L2" s="116"/>
      <c r="M2" s="116"/>
      <c r="N2" s="116"/>
      <c r="O2" s="116"/>
      <c r="P2" s="116"/>
      <c r="Q2" s="116"/>
      <c r="R2" s="116" t="s">
        <v>36</v>
      </c>
      <c r="S2" s="118" t="s">
        <v>37</v>
      </c>
    </row>
    <row r="3" spans="2:19" ht="12.75" customHeight="1">
      <c r="B3" s="119"/>
      <c r="C3" s="120"/>
      <c r="D3" s="121"/>
      <c r="E3" s="121"/>
      <c r="F3" s="113"/>
      <c r="G3" s="435" t="s">
        <v>38</v>
      </c>
      <c r="H3" s="435"/>
      <c r="I3" s="435"/>
      <c r="J3" s="435"/>
      <c r="K3" s="435"/>
      <c r="L3" s="435"/>
      <c r="M3" s="435"/>
      <c r="N3" s="435"/>
      <c r="O3" s="435"/>
      <c r="P3" s="435"/>
      <c r="Q3" s="435"/>
      <c r="R3" s="435"/>
      <c r="S3" s="118" t="s">
        <v>39</v>
      </c>
    </row>
    <row r="4" spans="2:19" ht="12.75" customHeight="1">
      <c r="B4" s="117" t="s">
        <v>329</v>
      </c>
      <c r="C4" s="120"/>
      <c r="D4" s="111"/>
      <c r="E4" s="111"/>
      <c r="F4" s="113"/>
      <c r="G4" s="435" t="s">
        <v>40</v>
      </c>
      <c r="H4" s="435"/>
      <c r="I4" s="435"/>
      <c r="J4" s="435"/>
      <c r="K4" s="435"/>
      <c r="L4" s="435"/>
      <c r="M4" s="435"/>
      <c r="N4" s="435"/>
      <c r="O4" s="435"/>
      <c r="P4" s="435"/>
      <c r="Q4" s="435"/>
      <c r="R4" s="435"/>
      <c r="S4" s="122">
        <v>39343</v>
      </c>
    </row>
    <row r="5" spans="2:19" ht="25.5">
      <c r="B5" s="123" t="s">
        <v>330</v>
      </c>
      <c r="D5" s="121"/>
      <c r="E5" s="121"/>
      <c r="F5" s="113"/>
      <c r="J5" s="435" t="s">
        <v>41</v>
      </c>
      <c r="K5" s="435"/>
      <c r="L5" s="435"/>
      <c r="M5" s="435"/>
      <c r="N5" s="435"/>
      <c r="O5" s="435"/>
      <c r="P5" s="435"/>
      <c r="Q5" s="435"/>
      <c r="R5" s="435"/>
      <c r="S5" s="124">
        <v>3</v>
      </c>
    </row>
    <row r="6" spans="2:19" ht="12.75" customHeight="1">
      <c r="B6" s="125" t="s">
        <v>331</v>
      </c>
      <c r="D6" s="121"/>
      <c r="E6" s="121"/>
      <c r="F6" s="113"/>
      <c r="J6" s="115"/>
      <c r="K6" s="116"/>
      <c r="L6" s="116"/>
      <c r="M6" s="116"/>
      <c r="N6" s="116"/>
      <c r="O6" s="116"/>
      <c r="P6" s="116"/>
      <c r="Q6" s="435" t="s">
        <v>42</v>
      </c>
      <c r="R6" s="435"/>
      <c r="S6" s="122"/>
    </row>
    <row r="7" spans="2:19" ht="12.75" customHeight="1">
      <c r="B7" s="119"/>
      <c r="D7" s="121"/>
      <c r="E7" s="121"/>
      <c r="F7" s="113"/>
      <c r="J7" s="435" t="s">
        <v>43</v>
      </c>
      <c r="K7" s="435"/>
      <c r="L7" s="435"/>
      <c r="M7" s="435"/>
      <c r="N7" s="435"/>
      <c r="O7" s="435"/>
      <c r="P7" s="435"/>
      <c r="Q7" s="435"/>
      <c r="R7" s="435"/>
      <c r="S7" s="118" t="s">
        <v>44</v>
      </c>
    </row>
    <row r="8" spans="2:19" ht="13.5" thickBot="1">
      <c r="B8" s="126"/>
      <c r="D8" s="126"/>
      <c r="E8" s="126"/>
      <c r="F8" s="127"/>
      <c r="G8" s="128"/>
      <c r="H8" s="129"/>
      <c r="I8" s="129"/>
      <c r="J8" s="435" t="s">
        <v>332</v>
      </c>
      <c r="K8" s="435"/>
      <c r="L8" s="435"/>
      <c r="M8" s="435"/>
      <c r="N8" s="435"/>
      <c r="O8" s="435"/>
      <c r="P8" s="435"/>
      <c r="Q8" s="435"/>
      <c r="R8" s="435"/>
      <c r="S8" s="122">
        <v>38880</v>
      </c>
    </row>
    <row r="9" spans="1:19" ht="13.5" thickTop="1">
      <c r="A9" s="130"/>
      <c r="B9" s="131" t="s">
        <v>333</v>
      </c>
      <c r="C9" s="132"/>
      <c r="D9" s="133" t="s">
        <v>334</v>
      </c>
      <c r="E9" s="134" t="s">
        <v>422</v>
      </c>
      <c r="F9" s="135" t="s">
        <v>423</v>
      </c>
      <c r="G9" s="136"/>
      <c r="H9" s="137"/>
      <c r="I9" s="137"/>
      <c r="J9" s="137"/>
      <c r="K9" s="138"/>
      <c r="L9" s="139"/>
      <c r="M9" s="139"/>
      <c r="N9" s="139"/>
      <c r="O9" s="140"/>
      <c r="P9" s="140"/>
      <c r="Q9" s="140"/>
      <c r="R9" s="140"/>
      <c r="S9" s="141"/>
    </row>
    <row r="10" spans="1:19" ht="12.75">
      <c r="A10" s="130"/>
      <c r="B10" s="142"/>
      <c r="C10" s="143"/>
      <c r="D10" s="109"/>
      <c r="E10" s="109"/>
      <c r="F10" s="113"/>
      <c r="G10" s="136" t="s">
        <v>335</v>
      </c>
      <c r="H10" s="144"/>
      <c r="I10" s="144"/>
      <c r="J10" s="115"/>
      <c r="K10" s="116"/>
      <c r="L10" s="116"/>
      <c r="M10" s="116"/>
      <c r="N10" s="116"/>
      <c r="O10" s="116"/>
      <c r="P10" s="116"/>
      <c r="S10" s="146"/>
    </row>
    <row r="11" spans="1:19" ht="12.75">
      <c r="A11" s="130"/>
      <c r="B11" s="147" t="s">
        <v>336</v>
      </c>
      <c r="C11" s="143"/>
      <c r="D11" s="148"/>
      <c r="E11" s="149">
        <v>0</v>
      </c>
      <c r="F11" s="113"/>
      <c r="G11" s="150" t="s">
        <v>337</v>
      </c>
      <c r="H11" s="150"/>
      <c r="I11" s="150"/>
      <c r="O11" s="152">
        <v>0.03</v>
      </c>
      <c r="P11" s="152"/>
      <c r="S11" s="153"/>
    </row>
    <row r="12" spans="1:19" ht="12" customHeight="1">
      <c r="A12" s="130"/>
      <c r="B12" s="147" t="s">
        <v>338</v>
      </c>
      <c r="C12" s="143"/>
      <c r="D12" s="149" t="s">
        <v>421</v>
      </c>
      <c r="E12" s="154">
        <v>1720</v>
      </c>
      <c r="F12" s="113"/>
      <c r="G12" s="150" t="s">
        <v>339</v>
      </c>
      <c r="H12" s="150"/>
      <c r="I12" s="150"/>
      <c r="O12" s="152">
        <v>0.08</v>
      </c>
      <c r="P12" s="152"/>
      <c r="Q12" s="116"/>
      <c r="S12" s="146"/>
    </row>
    <row r="13" spans="1:19" ht="12" customHeight="1">
      <c r="A13" s="130"/>
      <c r="B13" s="147" t="s">
        <v>338</v>
      </c>
      <c r="C13" s="143"/>
      <c r="D13" s="149" t="s">
        <v>421</v>
      </c>
      <c r="E13" s="154">
        <v>1720</v>
      </c>
      <c r="F13" s="113"/>
      <c r="G13" s="150" t="s">
        <v>340</v>
      </c>
      <c r="H13" s="150"/>
      <c r="I13" s="150"/>
      <c r="O13" s="152">
        <v>0.05</v>
      </c>
      <c r="P13" s="152"/>
      <c r="Q13" s="116"/>
      <c r="S13" s="146"/>
    </row>
    <row r="14" spans="1:19" ht="12.75">
      <c r="A14" s="130"/>
      <c r="B14" s="142"/>
      <c r="C14" s="143"/>
      <c r="D14" s="155"/>
      <c r="E14" s="155"/>
      <c r="F14" s="113"/>
      <c r="G14" s="150" t="s">
        <v>341</v>
      </c>
      <c r="H14" s="150"/>
      <c r="I14" s="150"/>
      <c r="O14" s="152">
        <v>0.03</v>
      </c>
      <c r="P14" s="152"/>
      <c r="Q14" s="156"/>
      <c r="S14" s="146"/>
    </row>
    <row r="15" spans="1:19" ht="12.75">
      <c r="A15" s="130"/>
      <c r="B15" s="142"/>
      <c r="C15" s="143"/>
      <c r="D15" s="155"/>
      <c r="E15" s="155"/>
      <c r="F15" s="113"/>
      <c r="G15" s="150" t="s">
        <v>342</v>
      </c>
      <c r="H15" s="150"/>
      <c r="I15" s="150"/>
      <c r="O15" s="152">
        <v>0.03</v>
      </c>
      <c r="P15" s="152"/>
      <c r="Q15" s="156"/>
      <c r="S15" s="146"/>
    </row>
    <row r="16" spans="1:19" ht="12.75">
      <c r="A16" s="130"/>
      <c r="B16" s="142"/>
      <c r="C16" s="143"/>
      <c r="D16" s="155"/>
      <c r="E16" s="155"/>
      <c r="F16" s="113"/>
      <c r="G16" s="150" t="s">
        <v>343</v>
      </c>
      <c r="H16" s="150"/>
      <c r="I16" s="150"/>
      <c r="K16" s="109"/>
      <c r="L16" s="109"/>
      <c r="M16" s="109"/>
      <c r="N16" s="109"/>
      <c r="O16" s="152">
        <v>0.25</v>
      </c>
      <c r="P16" s="152"/>
      <c r="Q16" s="116"/>
      <c r="R16" s="157"/>
      <c r="S16" s="146"/>
    </row>
    <row r="17" spans="1:19" ht="12.75">
      <c r="A17" s="130"/>
      <c r="B17" s="142"/>
      <c r="C17" s="143"/>
      <c r="D17" s="121"/>
      <c r="E17" s="121"/>
      <c r="F17" s="113"/>
      <c r="G17" s="150" t="s">
        <v>344</v>
      </c>
      <c r="H17" s="150"/>
      <c r="I17" s="150"/>
      <c r="K17" s="109"/>
      <c r="L17" s="109"/>
      <c r="M17" s="109"/>
      <c r="N17" s="109"/>
      <c r="O17" s="152">
        <v>0.08</v>
      </c>
      <c r="P17" s="152"/>
      <c r="Q17" s="116"/>
      <c r="S17" s="146"/>
    </row>
    <row r="18" spans="1:19" ht="12.75">
      <c r="A18" s="130"/>
      <c r="B18" s="142"/>
      <c r="C18" s="143"/>
      <c r="D18" s="109"/>
      <c r="E18" s="109"/>
      <c r="G18" s="150" t="s">
        <v>345</v>
      </c>
      <c r="H18" s="150"/>
      <c r="I18" s="150"/>
      <c r="K18" s="109"/>
      <c r="L18" s="109"/>
      <c r="M18" s="109"/>
      <c r="N18" s="109"/>
      <c r="O18" s="152">
        <v>0.15</v>
      </c>
      <c r="P18" s="152"/>
      <c r="Q18" s="116"/>
      <c r="S18" s="146"/>
    </row>
    <row r="19" spans="1:19" ht="12.75">
      <c r="A19" s="130"/>
      <c r="B19" s="142"/>
      <c r="C19" s="143"/>
      <c r="D19" s="109"/>
      <c r="E19" s="109"/>
      <c r="G19" s="150" t="s">
        <v>346</v>
      </c>
      <c r="H19" s="150"/>
      <c r="I19" s="150"/>
      <c r="K19" s="109"/>
      <c r="L19" s="109"/>
      <c r="M19" s="109"/>
      <c r="N19" s="109"/>
      <c r="O19" s="152">
        <v>0.15</v>
      </c>
      <c r="P19" s="152"/>
      <c r="Q19" s="116"/>
      <c r="S19" s="146"/>
    </row>
    <row r="20" spans="1:19" ht="12.75">
      <c r="A20" s="130"/>
      <c r="B20" s="142"/>
      <c r="C20" s="143"/>
      <c r="D20" s="109"/>
      <c r="E20" s="109"/>
      <c r="G20" s="136" t="s">
        <v>347</v>
      </c>
      <c r="H20" s="136"/>
      <c r="I20" s="136"/>
      <c r="K20" s="109"/>
      <c r="L20" s="109"/>
      <c r="M20" s="109"/>
      <c r="N20" s="109"/>
      <c r="O20" s="109"/>
      <c r="P20" s="109"/>
      <c r="Q20" s="116"/>
      <c r="R20" s="116"/>
      <c r="S20" s="146"/>
    </row>
    <row r="21" spans="1:19" ht="12.75">
      <c r="A21" s="130"/>
      <c r="B21" s="142"/>
      <c r="C21" s="143"/>
      <c r="D21" s="109"/>
      <c r="E21" s="109"/>
      <c r="G21" s="136" t="s">
        <v>348</v>
      </c>
      <c r="H21" s="136"/>
      <c r="I21" s="136"/>
      <c r="K21" s="109"/>
      <c r="L21" s="109"/>
      <c r="M21" s="109"/>
      <c r="N21" s="109"/>
      <c r="O21" s="109"/>
      <c r="P21" s="109"/>
      <c r="Q21" s="116"/>
      <c r="R21" s="116"/>
      <c r="S21" s="146"/>
    </row>
    <row r="22" spans="1:19" ht="12.75">
      <c r="A22" s="130"/>
      <c r="B22" s="142"/>
      <c r="C22" s="143"/>
      <c r="D22" s="109"/>
      <c r="E22" s="109"/>
      <c r="F22" s="150"/>
      <c r="H22" s="150" t="s">
        <v>349</v>
      </c>
      <c r="I22" s="150"/>
      <c r="K22" s="116"/>
      <c r="L22" s="109"/>
      <c r="M22" s="109"/>
      <c r="N22" s="109"/>
      <c r="O22" s="152">
        <v>0.01</v>
      </c>
      <c r="P22" s="152"/>
      <c r="Q22" s="116"/>
      <c r="R22" s="116"/>
      <c r="S22" s="146"/>
    </row>
    <row r="23" spans="1:19" ht="12.75">
      <c r="A23" s="130"/>
      <c r="B23" s="142"/>
      <c r="C23" s="143"/>
      <c r="D23" s="109"/>
      <c r="E23" s="109"/>
      <c r="F23" s="113"/>
      <c r="H23" s="158" t="s">
        <v>350</v>
      </c>
      <c r="I23" s="158"/>
      <c r="J23" s="158"/>
      <c r="K23" s="158"/>
      <c r="L23" s="158"/>
      <c r="M23" s="158"/>
      <c r="N23" s="109"/>
      <c r="O23" s="152">
        <v>0.03</v>
      </c>
      <c r="P23" s="159">
        <v>12000</v>
      </c>
      <c r="Q23" s="160"/>
      <c r="R23" s="161"/>
      <c r="S23" s="146"/>
    </row>
    <row r="24" spans="1:19" ht="12.75">
      <c r="A24" s="130"/>
      <c r="B24" s="142"/>
      <c r="C24" s="143"/>
      <c r="D24" s="109"/>
      <c r="E24" s="109"/>
      <c r="F24" s="113"/>
      <c r="H24" s="158" t="s">
        <v>351</v>
      </c>
      <c r="I24" s="158"/>
      <c r="J24" s="158"/>
      <c r="K24" s="158"/>
      <c r="L24" s="158"/>
      <c r="O24" s="162">
        <v>0.02</v>
      </c>
      <c r="P24" s="159">
        <v>24000</v>
      </c>
      <c r="Q24" s="161"/>
      <c r="R24" s="161"/>
      <c r="S24" s="146"/>
    </row>
    <row r="25" spans="1:19" ht="12.75">
      <c r="A25" s="130"/>
      <c r="B25" s="142"/>
      <c r="C25" s="143"/>
      <c r="D25" s="109"/>
      <c r="E25" s="109"/>
      <c r="F25" s="113"/>
      <c r="H25" s="150" t="s">
        <v>352</v>
      </c>
      <c r="I25" s="150"/>
      <c r="O25" s="162">
        <v>0.01</v>
      </c>
      <c r="P25" s="163"/>
      <c r="Q25" s="116"/>
      <c r="R25" s="116"/>
      <c r="S25" s="146"/>
    </row>
    <row r="26" spans="1:19" ht="12.75">
      <c r="A26" s="130"/>
      <c r="B26" s="142"/>
      <c r="C26" s="143"/>
      <c r="D26" s="109"/>
      <c r="E26" s="109"/>
      <c r="F26" s="113"/>
      <c r="G26" s="136" t="s">
        <v>353</v>
      </c>
      <c r="H26" s="150"/>
      <c r="I26" s="150"/>
      <c r="O26" s="152"/>
      <c r="P26" s="163"/>
      <c r="Q26" s="116"/>
      <c r="R26" s="116"/>
      <c r="S26" s="146"/>
    </row>
    <row r="27" spans="1:19" ht="12.75">
      <c r="A27" s="130"/>
      <c r="B27" s="142"/>
      <c r="C27" s="143"/>
      <c r="D27" s="109"/>
      <c r="E27" s="109"/>
      <c r="H27" s="150" t="s">
        <v>354</v>
      </c>
      <c r="I27" s="150"/>
      <c r="K27" s="116"/>
      <c r="L27" s="109"/>
      <c r="M27" s="109"/>
      <c r="N27" s="109"/>
      <c r="O27" s="152">
        <v>0.05</v>
      </c>
      <c r="P27" s="152"/>
      <c r="Q27" s="116"/>
      <c r="R27" s="116"/>
      <c r="S27" s="146"/>
    </row>
    <row r="28" spans="1:19" ht="12.75">
      <c r="A28" s="130"/>
      <c r="B28" s="142"/>
      <c r="C28" s="143"/>
      <c r="D28" s="109"/>
      <c r="E28" s="109"/>
      <c r="H28" s="150" t="s">
        <v>355</v>
      </c>
      <c r="I28" s="150"/>
      <c r="K28" s="116"/>
      <c r="L28" s="109"/>
      <c r="M28" s="109"/>
      <c r="N28" s="109"/>
      <c r="O28" s="152">
        <v>0.005</v>
      </c>
      <c r="P28" s="152"/>
      <c r="Q28" s="116"/>
      <c r="R28" s="116"/>
      <c r="S28" s="146"/>
    </row>
    <row r="29" spans="1:19" ht="12.75">
      <c r="A29" s="130"/>
      <c r="B29" s="142"/>
      <c r="C29" s="143"/>
      <c r="D29" s="109"/>
      <c r="E29" s="109"/>
      <c r="F29" s="113"/>
      <c r="H29" s="150" t="s">
        <v>356</v>
      </c>
      <c r="I29" s="150"/>
      <c r="O29" s="162">
        <v>0.019</v>
      </c>
      <c r="P29" s="163"/>
      <c r="Q29" s="116"/>
      <c r="R29" s="116"/>
      <c r="S29" s="146"/>
    </row>
    <row r="30" spans="1:19" ht="12.75">
      <c r="A30" s="130"/>
      <c r="B30" s="142"/>
      <c r="C30" s="143"/>
      <c r="D30" s="109"/>
      <c r="E30" s="109"/>
      <c r="F30" s="113"/>
      <c r="G30" s="150"/>
      <c r="H30" s="150"/>
      <c r="I30" s="150"/>
      <c r="O30" s="152"/>
      <c r="P30" s="152"/>
      <c r="Q30" s="116"/>
      <c r="R30" s="116"/>
      <c r="S30" s="146"/>
    </row>
    <row r="31" spans="1:19" ht="12.75">
      <c r="A31" s="130"/>
      <c r="B31" s="142"/>
      <c r="C31" s="143"/>
      <c r="D31" s="109"/>
      <c r="E31" s="109"/>
      <c r="F31" s="113"/>
      <c r="G31" s="164" t="s">
        <v>357</v>
      </c>
      <c r="H31" s="150"/>
      <c r="I31" s="150"/>
      <c r="L31" s="165">
        <f>SUM(L32:L37)</f>
        <v>101442.00195082664</v>
      </c>
      <c r="M31" s="165"/>
      <c r="N31" s="166"/>
      <c r="O31" s="167">
        <f>SUM(O32:O37)</f>
        <v>0.10250000000000001</v>
      </c>
      <c r="Q31" s="116"/>
      <c r="R31" s="116"/>
      <c r="S31" s="146"/>
    </row>
    <row r="32" spans="1:19" ht="12.75">
      <c r="A32" s="130"/>
      <c r="B32" s="142"/>
      <c r="C32" s="143"/>
      <c r="D32" s="109"/>
      <c r="E32" s="109"/>
      <c r="F32" s="113"/>
      <c r="G32" s="168" t="s">
        <v>358</v>
      </c>
      <c r="H32" s="150"/>
      <c r="I32" s="150"/>
      <c r="L32" s="169">
        <f>+$I$66*O32</f>
        <v>101442.00195082664</v>
      </c>
      <c r="M32" s="169"/>
      <c r="O32" s="167">
        <v>0.04</v>
      </c>
      <c r="Q32" s="116"/>
      <c r="R32" s="116"/>
      <c r="S32" s="146"/>
    </row>
    <row r="33" spans="1:19" ht="12.75">
      <c r="A33" s="130"/>
      <c r="B33" s="142"/>
      <c r="C33" s="143"/>
      <c r="D33" s="109"/>
      <c r="E33" s="109"/>
      <c r="F33" s="113"/>
      <c r="G33" s="168" t="s">
        <v>359</v>
      </c>
      <c r="H33" s="150"/>
      <c r="I33" s="150"/>
      <c r="L33" s="169">
        <f>+$I$72*O33</f>
        <v>0</v>
      </c>
      <c r="M33" s="169"/>
      <c r="O33" s="167">
        <v>0.0125</v>
      </c>
      <c r="Q33" s="116"/>
      <c r="R33" s="116"/>
      <c r="S33" s="146"/>
    </row>
    <row r="34" spans="1:19" ht="12.75">
      <c r="A34" s="130"/>
      <c r="B34" s="142"/>
      <c r="C34" s="143"/>
      <c r="D34" s="109"/>
      <c r="E34" s="109"/>
      <c r="F34" s="113"/>
      <c r="G34" s="168" t="s">
        <v>360</v>
      </c>
      <c r="H34" s="144"/>
      <c r="I34" s="144"/>
      <c r="J34" s="115"/>
      <c r="K34" s="116"/>
      <c r="L34" s="169">
        <f>+$I$72*O34</f>
        <v>0</v>
      </c>
      <c r="M34" s="170"/>
      <c r="N34" s="116"/>
      <c r="O34" s="167">
        <v>0.015</v>
      </c>
      <c r="Q34" s="116"/>
      <c r="R34" s="116"/>
      <c r="S34" s="146"/>
    </row>
    <row r="35" spans="1:19" ht="12.75">
      <c r="A35" s="130"/>
      <c r="B35" s="142"/>
      <c r="C35" s="143"/>
      <c r="D35" s="109"/>
      <c r="E35" s="109"/>
      <c r="F35" s="113"/>
      <c r="G35" s="168" t="s">
        <v>361</v>
      </c>
      <c r="H35" s="144"/>
      <c r="I35" s="144"/>
      <c r="J35" s="115"/>
      <c r="K35" s="116"/>
      <c r="L35" s="169">
        <f>+$I$72*O35</f>
        <v>0</v>
      </c>
      <c r="M35" s="170"/>
      <c r="N35" s="116"/>
      <c r="O35" s="167">
        <v>0.02</v>
      </c>
      <c r="Q35" s="116"/>
      <c r="R35" s="116"/>
      <c r="S35" s="146"/>
    </row>
    <row r="36" spans="1:19" ht="12.75">
      <c r="A36" s="130"/>
      <c r="B36" s="142"/>
      <c r="C36" s="143"/>
      <c r="D36" s="109"/>
      <c r="E36" s="109"/>
      <c r="F36" s="113"/>
      <c r="G36" s="168" t="s">
        <v>362</v>
      </c>
      <c r="H36" s="144"/>
      <c r="I36" s="144"/>
      <c r="J36" s="115"/>
      <c r="K36" s="116"/>
      <c r="L36" s="169">
        <f>+$I$72*O36</f>
        <v>0</v>
      </c>
      <c r="M36" s="170"/>
      <c r="N36" s="116"/>
      <c r="O36" s="167">
        <v>0.01</v>
      </c>
      <c r="Q36" s="116"/>
      <c r="R36" s="116"/>
      <c r="S36" s="146"/>
    </row>
    <row r="37" spans="1:19" ht="12.75">
      <c r="A37" s="130"/>
      <c r="B37" s="142"/>
      <c r="C37" s="143"/>
      <c r="D37" s="109"/>
      <c r="E37" s="109"/>
      <c r="F37" s="113"/>
      <c r="G37" s="168" t="s">
        <v>363</v>
      </c>
      <c r="H37" s="144"/>
      <c r="I37" s="144"/>
      <c r="J37" s="115"/>
      <c r="K37" s="116"/>
      <c r="L37" s="169">
        <f>+$I$72*O37</f>
        <v>0</v>
      </c>
      <c r="M37" s="170"/>
      <c r="N37" s="116"/>
      <c r="O37" s="167">
        <v>0.005</v>
      </c>
      <c r="Q37" s="116"/>
      <c r="R37" s="116"/>
      <c r="S37" s="146"/>
    </row>
    <row r="38" spans="1:255" ht="13.5" thickBot="1">
      <c r="A38" s="151"/>
      <c r="B38" s="151"/>
      <c r="C38" s="151"/>
      <c r="D38" s="151"/>
      <c r="F38" s="151"/>
      <c r="G38" s="151"/>
      <c r="H38" s="151"/>
      <c r="I38" s="151"/>
      <c r="K38" s="151"/>
      <c r="L38" s="151"/>
      <c r="M38" s="151"/>
      <c r="N38" s="151"/>
      <c r="O38" s="151"/>
      <c r="P38" s="151"/>
      <c r="Q38" s="151"/>
      <c r="R38" s="151"/>
      <c r="S38" s="151"/>
      <c r="T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c r="IU38" s="151"/>
    </row>
    <row r="39" spans="1:19" ht="13.5" thickTop="1">
      <c r="A39" s="130"/>
      <c r="B39" s="171" t="s">
        <v>364</v>
      </c>
      <c r="C39" s="172"/>
      <c r="D39" s="173"/>
      <c r="E39" s="174"/>
      <c r="F39" s="173"/>
      <c r="G39" s="173"/>
      <c r="H39" s="173"/>
      <c r="I39" s="173"/>
      <c r="J39" s="175"/>
      <c r="K39" s="139"/>
      <c r="L39" s="139"/>
      <c r="M39" s="139"/>
      <c r="N39" s="139"/>
      <c r="O39" s="139"/>
      <c r="P39" s="176"/>
      <c r="Q39" s="177"/>
      <c r="R39" s="178"/>
      <c r="S39" s="179"/>
    </row>
    <row r="40" spans="1:92" s="121" customFormat="1" ht="38.25">
      <c r="A40" s="180"/>
      <c r="B40" s="181" t="s">
        <v>153</v>
      </c>
      <c r="C40" s="182" t="s">
        <v>365</v>
      </c>
      <c r="D40" s="183" t="s">
        <v>366</v>
      </c>
      <c r="E40" s="184" t="s">
        <v>367</v>
      </c>
      <c r="F40" s="183" t="s">
        <v>368</v>
      </c>
      <c r="G40" s="183" t="s">
        <v>369</v>
      </c>
      <c r="H40" s="183" t="s">
        <v>370</v>
      </c>
      <c r="I40" s="183" t="s">
        <v>371</v>
      </c>
      <c r="J40" s="185" t="s">
        <v>372</v>
      </c>
      <c r="K40" s="186" t="s">
        <v>373</v>
      </c>
      <c r="L40" s="186" t="s">
        <v>374</v>
      </c>
      <c r="M40" s="186" t="s">
        <v>375</v>
      </c>
      <c r="N40" s="186" t="s">
        <v>376</v>
      </c>
      <c r="O40" s="186" t="s">
        <v>377</v>
      </c>
      <c r="P40" s="187" t="s">
        <v>378</v>
      </c>
      <c r="Q40" s="188" t="s">
        <v>379</v>
      </c>
      <c r="R40" s="189" t="s">
        <v>380</v>
      </c>
      <c r="S40" s="18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row>
    <row r="41" spans="1:19" ht="12.75">
      <c r="A41" s="130"/>
      <c r="B41" s="191"/>
      <c r="C41" s="192"/>
      <c r="D41" s="193"/>
      <c r="E41" s="194"/>
      <c r="F41" s="195"/>
      <c r="G41" s="195"/>
      <c r="H41" s="195"/>
      <c r="I41" s="195"/>
      <c r="J41" s="196"/>
      <c r="K41" s="197"/>
      <c r="L41" s="197"/>
      <c r="M41" s="197"/>
      <c r="N41" s="197"/>
      <c r="O41" s="197"/>
      <c r="P41" s="198"/>
      <c r="Q41" s="199"/>
      <c r="R41" s="200"/>
      <c r="S41" s="130"/>
    </row>
    <row r="42" spans="1:19" ht="12.75">
      <c r="A42" s="130"/>
      <c r="B42" s="191"/>
      <c r="C42" s="192"/>
      <c r="D42" s="129"/>
      <c r="E42" s="201"/>
      <c r="F42" s="129"/>
      <c r="G42" s="129"/>
      <c r="H42" s="129"/>
      <c r="I42" s="129"/>
      <c r="J42" s="196"/>
      <c r="K42" s="201"/>
      <c r="L42" s="201"/>
      <c r="M42" s="201"/>
      <c r="N42" s="201"/>
      <c r="O42" s="201"/>
      <c r="P42" s="235"/>
      <c r="Q42" s="236"/>
      <c r="R42" s="237"/>
      <c r="S42" s="234"/>
    </row>
    <row r="43" spans="1:19" ht="12.75">
      <c r="A43" s="130"/>
      <c r="B43" s="181" t="s">
        <v>297</v>
      </c>
      <c r="C43" s="192"/>
      <c r="D43" s="129"/>
      <c r="E43" s="201"/>
      <c r="F43" s="129"/>
      <c r="G43" s="129"/>
      <c r="H43" s="129"/>
      <c r="I43" s="129"/>
      <c r="J43" s="196"/>
      <c r="K43" s="201"/>
      <c r="L43" s="201"/>
      <c r="M43" s="201"/>
      <c r="N43" s="201"/>
      <c r="O43" s="201"/>
      <c r="P43" s="235"/>
      <c r="Q43" s="236"/>
      <c r="R43" s="237"/>
      <c r="S43" s="234"/>
    </row>
    <row r="44" spans="1:19" ht="25.5">
      <c r="A44" s="130"/>
      <c r="B44" s="191" t="s">
        <v>398</v>
      </c>
      <c r="C44" s="192" t="e">
        <v>#N/A</v>
      </c>
      <c r="D44" s="203">
        <v>1</v>
      </c>
      <c r="E44" s="204" t="s">
        <v>384</v>
      </c>
      <c r="F44" s="205">
        <v>0</v>
      </c>
      <c r="G44" s="206">
        <v>445250.04877066624</v>
      </c>
      <c r="H44" s="207">
        <f>+F44*D44</f>
        <v>0</v>
      </c>
      <c r="I44" s="208">
        <f>+G44*D44</f>
        <v>445250.04877066624</v>
      </c>
      <c r="J44" s="209">
        <f>ROUND((G44+F44)*D44,-2)/1000</f>
        <v>445.3</v>
      </c>
      <c r="K44" s="210">
        <f>ROUND(+J44*O$13,2)</f>
        <v>22.27</v>
      </c>
      <c r="L44" s="210">
        <f>ROUND(J44*(O$22+O$27+O$28),2)</f>
        <v>28.94</v>
      </c>
      <c r="M44" s="210">
        <f>IF($R$23*$O$23&gt;$P$23,H44/1000*$Q$23,H44/1000*$O$23)</f>
        <v>0</v>
      </c>
      <c r="N44" s="210">
        <f>ROUND(I44*O$31/1000,2)</f>
        <v>45.64</v>
      </c>
      <c r="O44" s="210">
        <f>ROUND(+G44*D44*E$11,2)/1000</f>
        <v>0</v>
      </c>
      <c r="P44" s="211">
        <f>+O44+N44+L44+K44+J44+M44</f>
        <v>542.15</v>
      </c>
      <c r="Q44" s="212"/>
      <c r="R44" s="213">
        <f>+P44+(Q44*P44)</f>
        <v>542.15</v>
      </c>
      <c r="S44" s="243"/>
    </row>
    <row r="45" spans="1:19" ht="25.5">
      <c r="A45" s="130"/>
      <c r="B45" s="191" t="s">
        <v>399</v>
      </c>
      <c r="C45" s="192" t="e">
        <v>#N/A</v>
      </c>
      <c r="D45" s="203">
        <v>1</v>
      </c>
      <c r="E45" s="204" t="s">
        <v>384</v>
      </c>
      <c r="F45" s="205">
        <v>0</v>
      </c>
      <c r="G45" s="206">
        <v>12000</v>
      </c>
      <c r="H45" s="207">
        <f>+F45*D45</f>
        <v>0</v>
      </c>
      <c r="I45" s="208">
        <f>+G45*D45</f>
        <v>12000</v>
      </c>
      <c r="J45" s="209">
        <f>ROUND((G45+F45)*D45,-2)/1000</f>
        <v>12</v>
      </c>
      <c r="K45" s="210">
        <f>ROUND(+J45*O$13,2)</f>
        <v>0.6</v>
      </c>
      <c r="L45" s="210">
        <f>ROUND(J45*(O$22+O$27+O$28),2)</f>
        <v>0.78</v>
      </c>
      <c r="M45" s="210">
        <f>IF($R$23*$O$23&gt;$P$23,H45/1000*$Q$23,H45/1000*$O$23)</f>
        <v>0</v>
      </c>
      <c r="N45" s="210">
        <f>ROUND(I45*O$31/1000,2)</f>
        <v>1.23</v>
      </c>
      <c r="O45" s="210">
        <f>ROUND(+G45*D45*E$11,2)/1000</f>
        <v>0</v>
      </c>
      <c r="P45" s="211">
        <f>+O45+N45+L45+K45+J45+M45</f>
        <v>14.61</v>
      </c>
      <c r="Q45" s="212"/>
      <c r="R45" s="213">
        <f>+P45+(Q45*P45)</f>
        <v>14.61</v>
      </c>
      <c r="S45" s="243"/>
    </row>
    <row r="46" spans="1:19" ht="25.5">
      <c r="A46" s="130"/>
      <c r="B46" s="191" t="s">
        <v>400</v>
      </c>
      <c r="C46" s="192" t="e">
        <v>#N/A</v>
      </c>
      <c r="D46" s="203">
        <v>1</v>
      </c>
      <c r="E46" s="204" t="s">
        <v>384</v>
      </c>
      <c r="F46" s="205">
        <v>0</v>
      </c>
      <c r="G46" s="206">
        <v>50000</v>
      </c>
      <c r="H46" s="207">
        <f>+F46*D46</f>
        <v>0</v>
      </c>
      <c r="I46" s="208">
        <f>+G46*D46</f>
        <v>50000</v>
      </c>
      <c r="J46" s="209">
        <f>ROUND((G46+F46)*D46,-2)/1000</f>
        <v>50</v>
      </c>
      <c r="K46" s="210">
        <f>ROUND(+J46*O$13,2)</f>
        <v>2.5</v>
      </c>
      <c r="L46" s="210">
        <f>ROUND(J46*(O$22+O$27+O$28),2)</f>
        <v>3.25</v>
      </c>
      <c r="M46" s="210">
        <f>IF($R$23*$O$23&gt;$P$23,H46/1000*$Q$23,H46/1000*$O$23)</f>
        <v>0</v>
      </c>
      <c r="N46" s="210">
        <f>ROUND(I46*O$31/1000,2)</f>
        <v>5.13</v>
      </c>
      <c r="O46" s="210">
        <f>ROUND(+G46*D46*E$11,2)/1000</f>
        <v>0</v>
      </c>
      <c r="P46" s="211">
        <f>+O46+N46+L46+K46+J46+M46</f>
        <v>60.879999999999995</v>
      </c>
      <c r="Q46" s="212"/>
      <c r="R46" s="213">
        <f>+P46+(Q46*P46)</f>
        <v>60.879999999999995</v>
      </c>
      <c r="S46" s="243"/>
    </row>
    <row r="47" spans="1:19" ht="25.5">
      <c r="A47" s="130"/>
      <c r="B47" s="191" t="s">
        <v>401</v>
      </c>
      <c r="C47" s="192" t="e">
        <v>#N/A</v>
      </c>
      <c r="D47" s="203">
        <v>1</v>
      </c>
      <c r="E47" s="204" t="s">
        <v>384</v>
      </c>
      <c r="F47" s="205">
        <v>0</v>
      </c>
      <c r="G47" s="206">
        <v>25000</v>
      </c>
      <c r="H47" s="207">
        <f>+F47*D47</f>
        <v>0</v>
      </c>
      <c r="I47" s="208">
        <f>+G47*D47</f>
        <v>25000</v>
      </c>
      <c r="J47" s="209">
        <f>ROUND((G47+F47)*D47,-2)/1000</f>
        <v>25</v>
      </c>
      <c r="K47" s="210">
        <f>ROUND(+J47*O$13,2)</f>
        <v>1.25</v>
      </c>
      <c r="L47" s="210">
        <f>ROUND(J47*(O$22+O$27+O$28),2)</f>
        <v>1.63</v>
      </c>
      <c r="M47" s="210">
        <f>IF($R$23*$O$23&gt;$P$23,H47/1000*$Q$23,H47/1000*$O$23)</f>
        <v>0</v>
      </c>
      <c r="N47" s="210">
        <f>ROUND(I47*O$31/1000,2)</f>
        <v>2.56</v>
      </c>
      <c r="O47" s="210">
        <f>ROUND(+G47*D47*E$11,2)/1000</f>
        <v>0</v>
      </c>
      <c r="P47" s="211">
        <f>+O47+N47+L47+K47+J47+M47</f>
        <v>30.439999999999998</v>
      </c>
      <c r="Q47" s="212"/>
      <c r="R47" s="213">
        <f>+P47+(Q47*P47)</f>
        <v>30.439999999999998</v>
      </c>
      <c r="S47" s="243"/>
    </row>
    <row r="48" spans="1:19" ht="12.75">
      <c r="A48" s="130"/>
      <c r="B48" s="191" t="s">
        <v>402</v>
      </c>
      <c r="C48" s="192"/>
      <c r="D48" s="239">
        <v>1</v>
      </c>
      <c r="E48" s="204" t="s">
        <v>388</v>
      </c>
      <c r="F48" s="240">
        <v>0</v>
      </c>
      <c r="G48" s="240">
        <v>150000</v>
      </c>
      <c r="H48" s="207">
        <f>+F48*D48</f>
        <v>0</v>
      </c>
      <c r="I48" s="208">
        <f>+G48*D48</f>
        <v>150000</v>
      </c>
      <c r="J48" s="209">
        <f>ROUND((G48+F48)*D48,-2)/1000</f>
        <v>150</v>
      </c>
      <c r="K48" s="210">
        <f>ROUND(+J48*O$11,2)</f>
        <v>4.5</v>
      </c>
      <c r="L48" s="210">
        <f>ROUND(J48*(O$22+O$27+O$28),2)</f>
        <v>9.75</v>
      </c>
      <c r="M48" s="210">
        <f>IF($R$23*$O$23&gt;$P$23,H48/1000*$Q$23,H48/1000*$O$23)</f>
        <v>0</v>
      </c>
      <c r="N48" s="210">
        <f>ROUND(I48*O$31/1000,2)</f>
        <v>15.38</v>
      </c>
      <c r="O48" s="210">
        <f>ROUND(+G48*D48*E$11,2)/1000</f>
        <v>0</v>
      </c>
      <c r="P48" s="211">
        <f>+O48+N48+L48+K48+J48+M48</f>
        <v>179.63</v>
      </c>
      <c r="Q48" s="212"/>
      <c r="R48" s="213">
        <f>+P48+(Q48*P48)</f>
        <v>179.63</v>
      </c>
      <c r="S48" s="241"/>
    </row>
    <row r="49" spans="1:19" ht="12.75">
      <c r="A49" s="130"/>
      <c r="B49" s="191" t="s">
        <v>403</v>
      </c>
      <c r="C49" s="192"/>
      <c r="D49" s="239">
        <v>1</v>
      </c>
      <c r="E49" s="204" t="s">
        <v>388</v>
      </c>
      <c r="F49" s="240">
        <v>0</v>
      </c>
      <c r="G49" s="240">
        <v>180000</v>
      </c>
      <c r="H49" s="207">
        <f>+F49*D49</f>
        <v>0</v>
      </c>
      <c r="I49" s="208">
        <f>+G49*D49</f>
        <v>180000</v>
      </c>
      <c r="J49" s="209">
        <f>ROUND((G49+F49)*D49,-2)/1000</f>
        <v>180</v>
      </c>
      <c r="K49" s="210">
        <f>ROUND(+J49*O$11,2)</f>
        <v>5.4</v>
      </c>
      <c r="L49" s="210">
        <f>ROUND(J49*(O$22+O$27+O$28),2)</f>
        <v>11.7</v>
      </c>
      <c r="M49" s="210">
        <f>IF($R$23*$O$23&gt;$P$23,H49/1000*$Q$23,H49/1000*$O$23)</f>
        <v>0</v>
      </c>
      <c r="N49" s="210">
        <f>ROUND(I49*O$31/1000,2)</f>
        <v>18.45</v>
      </c>
      <c r="O49" s="210">
        <f>ROUND(+G49*D49*E$11,2)/1000</f>
        <v>0</v>
      </c>
      <c r="P49" s="211">
        <f>+O49+N49+L49+K49+J49+M49</f>
        <v>215.55</v>
      </c>
      <c r="Q49" s="212"/>
      <c r="R49" s="213">
        <f>+P49+(Q49*P49)</f>
        <v>215.55</v>
      </c>
      <c r="S49" s="241"/>
    </row>
    <row r="50" spans="1:19" ht="3.75" customHeight="1">
      <c r="A50" s="130"/>
      <c r="B50" s="216"/>
      <c r="C50" s="217"/>
      <c r="D50" s="218"/>
      <c r="E50" s="219"/>
      <c r="F50" s="220"/>
      <c r="G50" s="221"/>
      <c r="H50" s="221"/>
      <c r="I50" s="221"/>
      <c r="J50" s="222"/>
      <c r="K50" s="223"/>
      <c r="L50" s="223"/>
      <c r="M50" s="223"/>
      <c r="N50" s="223"/>
      <c r="O50" s="223"/>
      <c r="P50" s="224"/>
      <c r="Q50" s="225"/>
      <c r="R50" s="226"/>
      <c r="S50" s="227"/>
    </row>
    <row r="51" spans="1:80" ht="12.75">
      <c r="A51" s="130"/>
      <c r="B51" s="191"/>
      <c r="C51" s="192"/>
      <c r="D51" s="129"/>
      <c r="E51" s="201"/>
      <c r="F51" s="129"/>
      <c r="G51" s="129"/>
      <c r="H51" s="228">
        <f aca="true" t="shared" si="0" ref="H51:P51">SUM(H43:H50)</f>
        <v>0</v>
      </c>
      <c r="I51" s="229">
        <f t="shared" si="0"/>
        <v>862250.0487706662</v>
      </c>
      <c r="J51" s="230">
        <f t="shared" si="0"/>
        <v>862.3</v>
      </c>
      <c r="K51" s="242">
        <f t="shared" si="0"/>
        <v>36.52</v>
      </c>
      <c r="L51" s="242">
        <f t="shared" si="0"/>
        <v>56.05</v>
      </c>
      <c r="M51" s="242">
        <f t="shared" si="0"/>
        <v>0</v>
      </c>
      <c r="N51" s="242">
        <f t="shared" si="0"/>
        <v>88.39</v>
      </c>
      <c r="O51" s="242">
        <f t="shared" si="0"/>
        <v>0</v>
      </c>
      <c r="P51" s="231">
        <f t="shared" si="0"/>
        <v>1043.26</v>
      </c>
      <c r="Q51" s="232"/>
      <c r="R51" s="233">
        <f>SUM(R43:R50)</f>
        <v>1043.26</v>
      </c>
      <c r="S51" s="234"/>
      <c r="V51" s="214"/>
      <c r="Y51" s="214"/>
      <c r="Z51" s="214"/>
      <c r="AE51" s="214"/>
      <c r="BT51" s="214"/>
      <c r="CA51" s="214"/>
      <c r="CB51" s="214"/>
    </row>
    <row r="52" spans="1:19" ht="12.75">
      <c r="A52" s="130"/>
      <c r="B52" s="191"/>
      <c r="C52" s="192"/>
      <c r="D52" s="129"/>
      <c r="E52" s="201"/>
      <c r="F52" s="129"/>
      <c r="G52" s="129"/>
      <c r="H52" s="129"/>
      <c r="I52" s="129"/>
      <c r="J52" s="196"/>
      <c r="K52" s="201"/>
      <c r="L52" s="201"/>
      <c r="M52" s="201"/>
      <c r="N52" s="201"/>
      <c r="O52" s="201"/>
      <c r="P52" s="235"/>
      <c r="Q52" s="236"/>
      <c r="R52" s="237"/>
      <c r="S52" s="234"/>
    </row>
    <row r="53" spans="1:19" ht="12.75">
      <c r="A53" s="130"/>
      <c r="B53" s="181" t="s">
        <v>389</v>
      </c>
      <c r="C53" s="192"/>
      <c r="D53" s="129"/>
      <c r="E53" s="201"/>
      <c r="F53" s="129"/>
      <c r="G53" s="129"/>
      <c r="H53" s="129"/>
      <c r="I53" s="129"/>
      <c r="J53" s="196"/>
      <c r="K53" s="201"/>
      <c r="L53" s="201"/>
      <c r="M53" s="201"/>
      <c r="N53" s="201"/>
      <c r="O53" s="201"/>
      <c r="P53" s="235"/>
      <c r="Q53" s="236"/>
      <c r="R53" s="237"/>
      <c r="S53" s="234"/>
    </row>
    <row r="54" spans="1:80" ht="25.5">
      <c r="A54" s="130"/>
      <c r="B54" s="238" t="s">
        <v>390</v>
      </c>
      <c r="C54" s="192" t="s">
        <v>721</v>
      </c>
      <c r="D54" s="203">
        <v>22000</v>
      </c>
      <c r="E54" s="204" t="str">
        <f>VLOOKUP($C54,'[1]Stations Coding'!$A$4:$F$472,4,FALSE)</f>
        <v>m2</v>
      </c>
      <c r="F54" s="205">
        <f>VLOOKUP($C54,'[1]Stations Coding'!$A$4:$F$472,5,FALSE)</f>
        <v>0</v>
      </c>
      <c r="G54" s="205">
        <f>VLOOKUP($C54,'[1]Stations Coding'!$A$4:$F$472,6,FALSE)</f>
        <v>2.9</v>
      </c>
      <c r="H54" s="207">
        <f>+F54*D54</f>
        <v>0</v>
      </c>
      <c r="I54" s="208">
        <f>+G54*D54</f>
        <v>63800</v>
      </c>
      <c r="J54" s="209">
        <f>ROUND((G54+F54)*D54,-2)/1000</f>
        <v>63.8</v>
      </c>
      <c r="K54" s="210">
        <f>ROUND(+J54*O$13,2)</f>
        <v>3.19</v>
      </c>
      <c r="L54" s="210">
        <f>ROUND(J54*(O$22+O$27+O$28),2)</f>
        <v>4.15</v>
      </c>
      <c r="M54" s="210">
        <f>IF($R$23*$O$23&gt;$P$23,H54/1000*$Q$23,H54/1000*$O$23)</f>
        <v>0</v>
      </c>
      <c r="N54" s="210">
        <f>ROUND(I54*O$31/1000,2)</f>
        <v>6.54</v>
      </c>
      <c r="O54" s="210">
        <f>ROUND(+G54*D54*E$11,2)/1000</f>
        <v>0</v>
      </c>
      <c r="P54" s="211">
        <f>+O54+N54+L54+K54+J54+M54</f>
        <v>77.67999999999999</v>
      </c>
      <c r="Q54" s="212"/>
      <c r="R54" s="213">
        <f>+P54+(Q54*P54)</f>
        <v>77.67999999999999</v>
      </c>
      <c r="S54" s="243"/>
      <c r="V54" s="214"/>
      <c r="Y54" s="214"/>
      <c r="Z54" s="214"/>
      <c r="AE54" s="214"/>
      <c r="AG54" s="214"/>
      <c r="BT54" s="214"/>
      <c r="CA54" s="214"/>
      <c r="CB54" s="214"/>
    </row>
    <row r="55" spans="1:80" ht="38.25">
      <c r="A55" s="130"/>
      <c r="B55" s="238" t="s">
        <v>404</v>
      </c>
      <c r="C55" s="192" t="s">
        <v>722</v>
      </c>
      <c r="D55" s="203">
        <v>22000</v>
      </c>
      <c r="E55" s="204" t="str">
        <f>VLOOKUP($C55,'[1]Stations Coding'!$A$4:$F$472,4,FALSE)</f>
        <v>m2</v>
      </c>
      <c r="F55" s="205">
        <f>VLOOKUP($C55,'[1]Stations Coding'!$A$4:$F$472,5,FALSE)</f>
        <v>0</v>
      </c>
      <c r="G55" s="205">
        <f>VLOOKUP($C55,'[1]Stations Coding'!$A$4:$F$472,6,FALSE)</f>
        <v>53</v>
      </c>
      <c r="H55" s="207">
        <f>+F55*D55</f>
        <v>0</v>
      </c>
      <c r="I55" s="208">
        <f>+G55*D55</f>
        <v>1166000</v>
      </c>
      <c r="J55" s="209">
        <f>ROUND((G55+F55)*D55,-2)/1000</f>
        <v>1166</v>
      </c>
      <c r="K55" s="210">
        <f>ROUND(+J55*O$13,2)</f>
        <v>58.3</v>
      </c>
      <c r="L55" s="210">
        <f>ROUND(J55*(O$22+O$27+O$28),2)</f>
        <v>75.79</v>
      </c>
      <c r="M55" s="210">
        <f>IF($R$23*$O$23&gt;$P$23,H55/1000*$Q$23,H55/1000*$O$23)</f>
        <v>0</v>
      </c>
      <c r="N55" s="210">
        <f>ROUND(I55*O$31/1000,2)</f>
        <v>119.52</v>
      </c>
      <c r="O55" s="210">
        <f>ROUND(+G55*D55*E$11,2)/1000</f>
        <v>0</v>
      </c>
      <c r="P55" s="211">
        <f>+O55+N55+L55+K55+J55+M55</f>
        <v>1419.6100000000001</v>
      </c>
      <c r="Q55" s="212"/>
      <c r="R55" s="213">
        <f>+P55+(Q55*P55)</f>
        <v>1419.6100000000001</v>
      </c>
      <c r="S55" s="243"/>
      <c r="V55" s="214"/>
      <c r="Y55" s="214"/>
      <c r="Z55" s="214"/>
      <c r="AE55" s="214"/>
      <c r="AG55" s="214"/>
      <c r="AT55" s="214"/>
      <c r="BT55" s="214"/>
      <c r="CA55" s="214"/>
      <c r="CB55" s="214"/>
    </row>
    <row r="56" spans="1:80" ht="25.5">
      <c r="A56" s="130"/>
      <c r="B56" s="238" t="s">
        <v>405</v>
      </c>
      <c r="C56" s="192" t="s">
        <v>723</v>
      </c>
      <c r="D56" s="203">
        <v>300</v>
      </c>
      <c r="E56" s="204" t="str">
        <f>VLOOKUP($C56,'[1]Stations Coding'!$A$4:$F$472,4,FALSE)</f>
        <v>m </v>
      </c>
      <c r="F56" s="205">
        <f>VLOOKUP($C56,'[1]Stations Coding'!$A$4:$F$472,5,FALSE)</f>
        <v>0</v>
      </c>
      <c r="G56" s="206">
        <f>VLOOKUP($C56,'[1]Stations Coding'!$A$4:$F$472,6,FALSE)</f>
        <v>230</v>
      </c>
      <c r="H56" s="207">
        <f>+F56*D56</f>
        <v>0</v>
      </c>
      <c r="I56" s="208">
        <f>+G56*D56</f>
        <v>69000</v>
      </c>
      <c r="J56" s="209">
        <f>ROUND((G56+F56)*D56,-2)/1000</f>
        <v>69</v>
      </c>
      <c r="K56" s="210">
        <f>ROUND(+J56*O$13,2)</f>
        <v>3.45</v>
      </c>
      <c r="L56" s="210">
        <f>ROUND(J56*(O$22+O$27+O$28),2)</f>
        <v>4.49</v>
      </c>
      <c r="M56" s="210">
        <f>IF($R$23*$O$23&gt;$P$23,H56/1000*$Q$23,H56/1000*$O$23)</f>
        <v>0</v>
      </c>
      <c r="N56" s="210">
        <f>ROUND(I56*O$31/1000,2)</f>
        <v>7.07</v>
      </c>
      <c r="O56" s="210">
        <f>ROUND(+G56*D56*E$11,2)/1000</f>
        <v>0</v>
      </c>
      <c r="P56" s="211">
        <f>+O56+N56+L56+K56+J56+M56</f>
        <v>84.01</v>
      </c>
      <c r="Q56" s="212"/>
      <c r="R56" s="213">
        <f>+P56+(Q56*P56)</f>
        <v>84.01</v>
      </c>
      <c r="S56" s="241"/>
      <c r="V56" s="214"/>
      <c r="Y56" s="214"/>
      <c r="Z56" s="214"/>
      <c r="AE56" s="214"/>
      <c r="AF56" s="214"/>
      <c r="AG56" s="214"/>
      <c r="AT56" s="214"/>
      <c r="BT56" s="214"/>
      <c r="CA56" s="214"/>
      <c r="CB56" s="214"/>
    </row>
    <row r="57" spans="1:80" ht="25.5">
      <c r="A57" s="130"/>
      <c r="B57" s="191" t="s">
        <v>406</v>
      </c>
      <c r="C57" s="192" t="e">
        <v>#N/A</v>
      </c>
      <c r="D57" s="203">
        <v>1</v>
      </c>
      <c r="E57" s="204" t="s">
        <v>384</v>
      </c>
      <c r="F57" s="205">
        <v>0</v>
      </c>
      <c r="G57" s="206">
        <v>50000</v>
      </c>
      <c r="H57" s="207">
        <f>+F57*D57</f>
        <v>0</v>
      </c>
      <c r="I57" s="208">
        <f>+G57*D57</f>
        <v>50000</v>
      </c>
      <c r="J57" s="209">
        <f>ROUND((G57+F57)*D57,-2)/1000</f>
        <v>50</v>
      </c>
      <c r="K57" s="210">
        <f>ROUND(+J57*O$13,2)</f>
        <v>2.5</v>
      </c>
      <c r="L57" s="210">
        <f>ROUND(J57*(O$22+O$27+O$28),2)</f>
        <v>3.25</v>
      </c>
      <c r="M57" s="210">
        <f>IF($R$23*$O$23&gt;$P$23,H57/1000*$Q$23,H57/1000*$O$23)</f>
        <v>0</v>
      </c>
      <c r="N57" s="210">
        <f>ROUND(I57*O$31/1000,2)</f>
        <v>5.13</v>
      </c>
      <c r="O57" s="210">
        <f>ROUND(+G57*D57*E$11,2)/1000</f>
        <v>0</v>
      </c>
      <c r="P57" s="211">
        <f>+O57+N57+L57+K57+J57+M57</f>
        <v>60.879999999999995</v>
      </c>
      <c r="Q57" s="212"/>
      <c r="R57" s="213">
        <f>+P57+(Q57*P57)</f>
        <v>60.879999999999995</v>
      </c>
      <c r="S57" s="243"/>
      <c r="V57" s="214"/>
      <c r="Y57" s="214"/>
      <c r="Z57" s="214"/>
      <c r="AE57" s="214"/>
      <c r="AF57" s="214"/>
      <c r="AG57" s="214"/>
      <c r="BT57" s="214"/>
      <c r="CA57" s="214"/>
      <c r="CB57" s="214"/>
    </row>
    <row r="58" spans="1:80" ht="12.75">
      <c r="A58" s="130"/>
      <c r="B58" s="191" t="s">
        <v>407</v>
      </c>
      <c r="C58" s="192" t="e">
        <v>#N/A</v>
      </c>
      <c r="D58" s="203">
        <v>1</v>
      </c>
      <c r="E58" s="204" t="s">
        <v>384</v>
      </c>
      <c r="F58" s="205">
        <v>0</v>
      </c>
      <c r="G58" s="206">
        <v>100000</v>
      </c>
      <c r="H58" s="207">
        <f>+F58*D58</f>
        <v>0</v>
      </c>
      <c r="I58" s="208">
        <f>+G58*D58</f>
        <v>100000</v>
      </c>
      <c r="J58" s="209">
        <f>ROUND((G58+F58)*D58,-2)/1000</f>
        <v>100</v>
      </c>
      <c r="K58" s="210">
        <f>ROUND(+J58*O$13,2)</f>
        <v>5</v>
      </c>
      <c r="L58" s="210">
        <f>ROUND(J58*(O$22+O$27+O$28),2)</f>
        <v>6.5</v>
      </c>
      <c r="M58" s="210">
        <f>IF($R$23*$O$23&gt;$P$23,H58/1000*$Q$23,H58/1000*$O$23)</f>
        <v>0</v>
      </c>
      <c r="N58" s="210">
        <f>ROUND(I58*O$31/1000,2)</f>
        <v>10.25</v>
      </c>
      <c r="O58" s="210">
        <f>ROUND(+G58*D58*E$11,2)/1000</f>
        <v>0</v>
      </c>
      <c r="P58" s="211">
        <f>+O58+N58+L58+K58+J58+M58</f>
        <v>121.75</v>
      </c>
      <c r="Q58" s="212"/>
      <c r="R58" s="213">
        <f>+P58+(Q58*P58)</f>
        <v>121.75</v>
      </c>
      <c r="S58" s="243"/>
      <c r="V58" s="214"/>
      <c r="Y58" s="214"/>
      <c r="Z58" s="214"/>
      <c r="AE58" s="214"/>
      <c r="AF58" s="214"/>
      <c r="AG58" s="214"/>
      <c r="BT58" s="214"/>
      <c r="CA58" s="214"/>
      <c r="CB58" s="214"/>
    </row>
    <row r="59" spans="1:80" ht="12.75">
      <c r="A59" s="130"/>
      <c r="B59" s="191" t="s">
        <v>408</v>
      </c>
      <c r="C59" s="192" t="e">
        <v>#N/A</v>
      </c>
      <c r="D59" s="203">
        <v>1</v>
      </c>
      <c r="E59" s="204" t="s">
        <v>384</v>
      </c>
      <c r="F59" s="205">
        <v>0</v>
      </c>
      <c r="G59" s="206">
        <v>100000</v>
      </c>
      <c r="H59" s="207">
        <f>+F59*D59</f>
        <v>0</v>
      </c>
      <c r="I59" s="208">
        <f>+G59*D59</f>
        <v>100000</v>
      </c>
      <c r="J59" s="209">
        <f>ROUND((G59+F59)*D59,-2)/1000</f>
        <v>100</v>
      </c>
      <c r="K59" s="210">
        <f>ROUND(+J59*O$13,2)</f>
        <v>5</v>
      </c>
      <c r="L59" s="210">
        <f>ROUND(J59*(O$22+O$27+O$28),2)</f>
        <v>6.5</v>
      </c>
      <c r="M59" s="210">
        <f>IF($R$23*$O$23&gt;$P$23,H59/1000*$Q$23,H59/1000*$O$23)</f>
        <v>0</v>
      </c>
      <c r="N59" s="210">
        <f>ROUND(I59*O$31/1000,2)</f>
        <v>10.25</v>
      </c>
      <c r="O59" s="210">
        <f>ROUND(+G59*D59*E$11,2)/1000</f>
        <v>0</v>
      </c>
      <c r="P59" s="211">
        <f>+O59+N59+L59+K59+J59+M59</f>
        <v>121.75</v>
      </c>
      <c r="Q59" s="212"/>
      <c r="R59" s="213">
        <f>+P59+(Q59*P59)</f>
        <v>121.75</v>
      </c>
      <c r="S59" s="243"/>
      <c r="V59" s="214"/>
      <c r="Y59" s="214"/>
      <c r="Z59" s="214"/>
      <c r="AE59" s="214"/>
      <c r="AF59" s="214"/>
      <c r="AG59" s="214"/>
      <c r="BT59" s="214"/>
      <c r="CA59" s="214"/>
      <c r="CB59" s="214"/>
    </row>
    <row r="60" spans="1:80" ht="12.75">
      <c r="A60" s="130"/>
      <c r="B60" s="191" t="s">
        <v>409</v>
      </c>
      <c r="C60" s="192" t="e">
        <v>#N/A</v>
      </c>
      <c r="D60" s="203">
        <v>1</v>
      </c>
      <c r="E60" s="204" t="s">
        <v>384</v>
      </c>
      <c r="F60" s="205">
        <v>0</v>
      </c>
      <c r="G60" s="206">
        <v>100000</v>
      </c>
      <c r="H60" s="207">
        <f>+F60*D60</f>
        <v>0</v>
      </c>
      <c r="I60" s="208">
        <f>+G60*D60</f>
        <v>100000</v>
      </c>
      <c r="J60" s="209">
        <f>ROUND((G60+F60)*D60,-2)/1000</f>
        <v>100</v>
      </c>
      <c r="K60" s="210">
        <f>ROUND(+J60*O$13,2)</f>
        <v>5</v>
      </c>
      <c r="L60" s="210">
        <f>ROUND(J60*(O$22+O$27+O$28),2)</f>
        <v>6.5</v>
      </c>
      <c r="M60" s="210">
        <f>IF($R$23*$O$23&gt;$P$23,H60/1000*$Q$23,H60/1000*$O$23)</f>
        <v>0</v>
      </c>
      <c r="N60" s="210">
        <f>ROUND(I60*O$31/1000,2)</f>
        <v>10.25</v>
      </c>
      <c r="O60" s="210">
        <f>ROUND(+G60*D60*E$11,2)/1000</f>
        <v>0</v>
      </c>
      <c r="P60" s="211">
        <f>+O60+N60+L60+K60+J60+M60</f>
        <v>121.75</v>
      </c>
      <c r="Q60" s="212"/>
      <c r="R60" s="213">
        <f>+P60+(Q60*P60)</f>
        <v>121.75</v>
      </c>
      <c r="S60" s="243"/>
      <c r="V60" s="214"/>
      <c r="Y60" s="214"/>
      <c r="Z60" s="214"/>
      <c r="AE60" s="214"/>
      <c r="AG60" s="214"/>
      <c r="AS60" s="214"/>
      <c r="AV60" s="214"/>
      <c r="BT60" s="214"/>
      <c r="BY60" s="214"/>
      <c r="CA60" s="214"/>
      <c r="CB60" s="214"/>
    </row>
    <row r="61" spans="1:80" ht="12.75">
      <c r="A61" s="130"/>
      <c r="B61" s="191" t="s">
        <v>410</v>
      </c>
      <c r="C61" s="192" t="e">
        <v>#N/A</v>
      </c>
      <c r="D61" s="203">
        <v>1</v>
      </c>
      <c r="E61" s="204" t="s">
        <v>384</v>
      </c>
      <c r="F61" s="205">
        <v>0</v>
      </c>
      <c r="G61" s="206">
        <v>25000</v>
      </c>
      <c r="H61" s="207">
        <f>+F61*D61</f>
        <v>0</v>
      </c>
      <c r="I61" s="208">
        <f>+G61*D61</f>
        <v>25000</v>
      </c>
      <c r="J61" s="209">
        <f>ROUND((G61+F61)*D61,-2)/1000</f>
        <v>25</v>
      </c>
      <c r="K61" s="210">
        <f>ROUND(+J61*O$13,2)</f>
        <v>1.25</v>
      </c>
      <c r="L61" s="210">
        <f>ROUND(J61*(O$22+O$27+O$28),2)</f>
        <v>1.63</v>
      </c>
      <c r="M61" s="210">
        <f>IF($R$23*$O$23&gt;$P$23,H61/1000*$Q$23,H61/1000*$O$23)</f>
        <v>0</v>
      </c>
      <c r="N61" s="210">
        <f>ROUND(I61*O$31/1000,2)</f>
        <v>2.56</v>
      </c>
      <c r="O61" s="210">
        <f>ROUND(+G61*D61*E$11,2)/1000</f>
        <v>0</v>
      </c>
      <c r="P61" s="211">
        <f>+O61+N61+L61+K61+J61+M61</f>
        <v>30.439999999999998</v>
      </c>
      <c r="Q61" s="212"/>
      <c r="R61" s="213">
        <f>+P61+(Q61*P61)</f>
        <v>30.439999999999998</v>
      </c>
      <c r="S61" s="243"/>
      <c r="V61" s="214"/>
      <c r="Y61" s="214"/>
      <c r="Z61" s="214"/>
      <c r="AE61" s="214"/>
      <c r="AG61" s="214"/>
      <c r="BT61" s="214"/>
      <c r="CA61" s="214"/>
      <c r="CB61" s="214"/>
    </row>
    <row r="62" spans="1:19" ht="3.75" customHeight="1">
      <c r="A62" s="130"/>
      <c r="B62" s="216"/>
      <c r="C62" s="217"/>
      <c r="D62" s="218"/>
      <c r="E62" s="219"/>
      <c r="F62" s="220"/>
      <c r="G62" s="221"/>
      <c r="H62" s="221"/>
      <c r="I62" s="221"/>
      <c r="J62" s="222"/>
      <c r="K62" s="223"/>
      <c r="L62" s="223"/>
      <c r="M62" s="223"/>
      <c r="N62" s="223"/>
      <c r="O62" s="223"/>
      <c r="P62" s="224"/>
      <c r="Q62" s="225"/>
      <c r="R62" s="226"/>
      <c r="S62" s="244"/>
    </row>
    <row r="63" spans="1:19" ht="12.75">
      <c r="A63" s="130"/>
      <c r="B63" s="191"/>
      <c r="C63" s="192"/>
      <c r="D63" s="129"/>
      <c r="E63" s="201"/>
      <c r="F63" s="129"/>
      <c r="G63" s="129"/>
      <c r="H63" s="228">
        <f aca="true" t="shared" si="1" ref="H63:P63">SUM(H53:H62)</f>
        <v>0</v>
      </c>
      <c r="I63" s="229">
        <f t="shared" si="1"/>
        <v>1673800</v>
      </c>
      <c r="J63" s="230">
        <f t="shared" si="1"/>
        <v>1673.8</v>
      </c>
      <c r="K63" s="242">
        <f t="shared" si="1"/>
        <v>83.69</v>
      </c>
      <c r="L63" s="242">
        <f t="shared" si="1"/>
        <v>108.81</v>
      </c>
      <c r="M63" s="242">
        <f t="shared" si="1"/>
        <v>0</v>
      </c>
      <c r="N63" s="242">
        <f t="shared" si="1"/>
        <v>171.57</v>
      </c>
      <c r="O63" s="242">
        <f t="shared" si="1"/>
        <v>0</v>
      </c>
      <c r="P63" s="231">
        <f t="shared" si="1"/>
        <v>2037.8700000000003</v>
      </c>
      <c r="Q63" s="245"/>
      <c r="R63" s="233">
        <f>SUM(R53:R62)</f>
        <v>2037.8700000000003</v>
      </c>
      <c r="S63" s="243"/>
    </row>
    <row r="64" spans="1:19" ht="12.75">
      <c r="A64" s="130"/>
      <c r="B64" s="191"/>
      <c r="C64" s="192"/>
      <c r="D64" s="129"/>
      <c r="E64" s="201"/>
      <c r="F64" s="129"/>
      <c r="G64" s="129"/>
      <c r="H64" s="129"/>
      <c r="I64" s="129"/>
      <c r="J64" s="196"/>
      <c r="K64" s="201"/>
      <c r="L64" s="201"/>
      <c r="M64" s="201"/>
      <c r="N64" s="201"/>
      <c r="O64" s="201"/>
      <c r="P64" s="235"/>
      <c r="Q64" s="236"/>
      <c r="R64" s="237"/>
      <c r="S64" s="241"/>
    </row>
    <row r="65" spans="1:19" ht="13.5" thickBot="1">
      <c r="A65" s="130"/>
      <c r="B65" s="191"/>
      <c r="C65" s="192"/>
      <c r="D65" s="129"/>
      <c r="E65" s="201"/>
      <c r="F65" s="129"/>
      <c r="G65" s="129"/>
      <c r="H65" s="129"/>
      <c r="I65" s="129"/>
      <c r="J65" s="196"/>
      <c r="K65" s="258"/>
      <c r="L65" s="258"/>
      <c r="M65" s="258"/>
      <c r="N65" s="258"/>
      <c r="O65" s="258"/>
      <c r="P65" s="259"/>
      <c r="Q65" s="236"/>
      <c r="R65" s="237"/>
      <c r="S65" s="241"/>
    </row>
    <row r="66" spans="1:21" s="121" customFormat="1" ht="12.75">
      <c r="A66" s="180"/>
      <c r="B66" s="260" t="s">
        <v>395</v>
      </c>
      <c r="C66" s="182"/>
      <c r="D66" s="183"/>
      <c r="E66" s="184"/>
      <c r="F66" s="129"/>
      <c r="G66" s="129"/>
      <c r="H66" s="261">
        <f>H63+H51</f>
        <v>0</v>
      </c>
      <c r="I66" s="262">
        <f aca="true" t="shared" si="2" ref="I66:R66">I63+I51</f>
        <v>2536050.048770666</v>
      </c>
      <c r="J66" s="263">
        <f t="shared" si="2"/>
        <v>2536.1</v>
      </c>
      <c r="K66" s="264">
        <f t="shared" si="2"/>
        <v>120.21000000000001</v>
      </c>
      <c r="L66" s="264">
        <f t="shared" si="2"/>
        <v>164.86</v>
      </c>
      <c r="M66" s="264">
        <f t="shared" si="2"/>
        <v>0</v>
      </c>
      <c r="N66" s="264">
        <f t="shared" si="2"/>
        <v>259.96</v>
      </c>
      <c r="O66" s="264">
        <f t="shared" si="2"/>
        <v>0</v>
      </c>
      <c r="P66" s="265">
        <f t="shared" si="2"/>
        <v>3081.13</v>
      </c>
      <c r="Q66" s="266">
        <f t="shared" si="2"/>
        <v>0</v>
      </c>
      <c r="R66" s="267">
        <f t="shared" si="2"/>
        <v>3081.13</v>
      </c>
      <c r="S66" s="268"/>
      <c r="U66" s="269"/>
    </row>
    <row r="67" spans="1:21" s="121" customFormat="1" ht="12.75">
      <c r="A67" s="180"/>
      <c r="B67" s="260"/>
      <c r="C67" s="182"/>
      <c r="D67" s="183"/>
      <c r="E67" s="201"/>
      <c r="F67" s="129"/>
      <c r="G67" s="129"/>
      <c r="H67" s="129"/>
      <c r="I67" s="129"/>
      <c r="J67" s="196" t="b">
        <f>IF(J66=SUM(H66:I66)/1000,"")</f>
        <v>0</v>
      </c>
      <c r="K67" s="201"/>
      <c r="L67" s="201"/>
      <c r="M67" s="201"/>
      <c r="N67" s="201"/>
      <c r="O67" s="201"/>
      <c r="P67" s="235">
        <f>IF(P66=SUM(J66:O66),"")</f>
      </c>
      <c r="Q67" s="270"/>
      <c r="R67" s="237"/>
      <c r="S67" s="271"/>
      <c r="U67" s="269"/>
    </row>
    <row r="68" spans="1:21" s="121" customFormat="1" ht="12.75">
      <c r="A68" s="180"/>
      <c r="B68" s="260"/>
      <c r="C68" s="182"/>
      <c r="D68" s="183"/>
      <c r="E68" s="184"/>
      <c r="F68" s="129"/>
      <c r="G68" s="129"/>
      <c r="H68" s="129"/>
      <c r="I68" s="129"/>
      <c r="J68" s="196"/>
      <c r="K68" s="201"/>
      <c r="L68" s="201"/>
      <c r="M68" s="201"/>
      <c r="N68" s="201"/>
      <c r="O68" s="201"/>
      <c r="P68" s="235"/>
      <c r="Q68" s="270"/>
      <c r="R68" s="237"/>
      <c r="S68" s="271"/>
      <c r="U68" s="269"/>
    </row>
    <row r="69" spans="1:19" ht="12.75">
      <c r="A69" s="130"/>
      <c r="B69" s="272"/>
      <c r="C69" s="192"/>
      <c r="D69" s="129"/>
      <c r="E69" s="201"/>
      <c r="F69" s="129"/>
      <c r="G69" s="129"/>
      <c r="H69" s="129"/>
      <c r="I69" s="129"/>
      <c r="J69" s="196"/>
      <c r="K69" s="201"/>
      <c r="L69" s="201"/>
      <c r="M69" s="201"/>
      <c r="N69" s="201"/>
      <c r="O69" s="201"/>
      <c r="P69" s="235"/>
      <c r="Q69" s="270"/>
      <c r="R69" s="237"/>
      <c r="S69" s="241"/>
    </row>
    <row r="70" spans="1:92" ht="12.75">
      <c r="A70" s="130"/>
      <c r="B70" s="260" t="s">
        <v>396</v>
      </c>
      <c r="C70" s="182"/>
      <c r="D70" s="129"/>
      <c r="E70" s="201"/>
      <c r="F70" s="273">
        <f>'UR-Summary PAD'!B37</f>
        <v>0.048</v>
      </c>
      <c r="G70" s="129"/>
      <c r="H70" s="129"/>
      <c r="I70" s="129"/>
      <c r="J70" s="246">
        <f>ROUND(J66*F70,2)</f>
        <v>121.73</v>
      </c>
      <c r="K70" s="247">
        <f aca="true" t="shared" si="3" ref="K70:Q70">ROUND(K66*$F70,2)</f>
        <v>5.77</v>
      </c>
      <c r="L70" s="247">
        <f t="shared" si="3"/>
        <v>7.91</v>
      </c>
      <c r="M70" s="247">
        <f t="shared" si="3"/>
        <v>0</v>
      </c>
      <c r="N70" s="247">
        <f t="shared" si="3"/>
        <v>12.48</v>
      </c>
      <c r="O70" s="247">
        <f t="shared" si="3"/>
        <v>0</v>
      </c>
      <c r="P70" s="248">
        <f t="shared" si="3"/>
        <v>147.89</v>
      </c>
      <c r="Q70" s="247">
        <f t="shared" si="3"/>
        <v>0</v>
      </c>
      <c r="R70" s="249">
        <f>ROUND(R66*$F$70,2)</f>
        <v>147.89</v>
      </c>
      <c r="S70" s="268"/>
      <c r="CN70" s="214"/>
    </row>
    <row r="71" spans="1:80" ht="12.75">
      <c r="A71" s="130"/>
      <c r="B71" s="260" t="s">
        <v>314</v>
      </c>
      <c r="C71" s="182"/>
      <c r="D71" s="129"/>
      <c r="E71" s="201"/>
      <c r="F71" s="273">
        <f>'UR-Summary PAD'!B38</f>
        <v>0.1</v>
      </c>
      <c r="G71" s="129"/>
      <c r="H71" s="129"/>
      <c r="I71" s="129"/>
      <c r="J71" s="246">
        <f>ROUND(J66*F71,2)</f>
        <v>253.61</v>
      </c>
      <c r="K71" s="247">
        <f aca="true" t="shared" si="4" ref="K71:Q71">ROUND(K66*$F71,2)</f>
        <v>12.02</v>
      </c>
      <c r="L71" s="247">
        <f t="shared" si="4"/>
        <v>16.49</v>
      </c>
      <c r="M71" s="247">
        <f t="shared" si="4"/>
        <v>0</v>
      </c>
      <c r="N71" s="247">
        <f t="shared" si="4"/>
        <v>26</v>
      </c>
      <c r="O71" s="247">
        <f t="shared" si="4"/>
        <v>0</v>
      </c>
      <c r="P71" s="248">
        <f t="shared" si="4"/>
        <v>308.11</v>
      </c>
      <c r="Q71" s="247">
        <f t="shared" si="4"/>
        <v>0</v>
      </c>
      <c r="R71" s="249">
        <f>ROUND(R66*$F$71,2)</f>
        <v>308.11</v>
      </c>
      <c r="S71" s="268"/>
      <c r="AB71" s="214"/>
      <c r="AX71" s="214"/>
      <c r="CB71" s="214"/>
    </row>
    <row r="72" spans="1:19" ht="12.75">
      <c r="A72" s="130"/>
      <c r="B72" s="272"/>
      <c r="C72" s="192"/>
      <c r="D72" s="129"/>
      <c r="E72" s="201"/>
      <c r="F72" s="129"/>
      <c r="G72" s="129"/>
      <c r="H72" s="129"/>
      <c r="I72" s="129"/>
      <c r="J72" s="196"/>
      <c r="K72" s="201"/>
      <c r="L72" s="201"/>
      <c r="M72" s="201"/>
      <c r="N72" s="201"/>
      <c r="O72" s="201"/>
      <c r="P72" s="235"/>
      <c r="Q72" s="270"/>
      <c r="R72" s="237"/>
      <c r="S72" s="241"/>
    </row>
    <row r="73" spans="1:92" ht="13.5" thickBot="1">
      <c r="A73" s="130"/>
      <c r="B73" s="260" t="s">
        <v>397</v>
      </c>
      <c r="C73" s="182"/>
      <c r="D73" s="129"/>
      <c r="E73" s="201"/>
      <c r="F73" s="129"/>
      <c r="G73" s="129"/>
      <c r="H73" s="129"/>
      <c r="I73" s="129"/>
      <c r="J73" s="274">
        <f>SUM(J66:J71)</f>
        <v>2911.44</v>
      </c>
      <c r="K73" s="275">
        <f aca="true" t="shared" si="5" ref="K73:Q73">SUM(K66:K72)</f>
        <v>138</v>
      </c>
      <c r="L73" s="275">
        <f t="shared" si="5"/>
        <v>189.26000000000002</v>
      </c>
      <c r="M73" s="275">
        <f t="shared" si="5"/>
        <v>0</v>
      </c>
      <c r="N73" s="275">
        <f t="shared" si="5"/>
        <v>298.44</v>
      </c>
      <c r="O73" s="275">
        <f t="shared" si="5"/>
        <v>0</v>
      </c>
      <c r="P73" s="276">
        <f t="shared" si="5"/>
        <v>3537.13</v>
      </c>
      <c r="Q73" s="277">
        <f t="shared" si="5"/>
        <v>0</v>
      </c>
      <c r="R73" s="278">
        <f>SUM(R66:R71)</f>
        <v>3537.13</v>
      </c>
      <c r="S73" s="268"/>
      <c r="T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row>
    <row r="74" spans="1:19" ht="13.5" thickBot="1">
      <c r="A74" s="130"/>
      <c r="B74" s="279"/>
      <c r="C74" s="280"/>
      <c r="D74" s="128"/>
      <c r="E74" s="281"/>
      <c r="F74" s="128"/>
      <c r="G74" s="128"/>
      <c r="H74" s="128"/>
      <c r="I74" s="128"/>
      <c r="J74" s="282"/>
      <c r="K74" s="281"/>
      <c r="L74" s="281"/>
      <c r="M74" s="281"/>
      <c r="N74" s="281"/>
      <c r="O74" s="281"/>
      <c r="P74" s="281"/>
      <c r="Q74" s="283"/>
      <c r="R74" s="284"/>
      <c r="S74" s="285"/>
    </row>
    <row r="75" spans="2:19" ht="13.5" thickTop="1">
      <c r="B75" s="286"/>
      <c r="D75" s="110"/>
      <c r="E75" s="287"/>
      <c r="R75" s="145">
        <f>R66+R71</f>
        <v>3389.2400000000002</v>
      </c>
      <c r="S75" s="288" t="s">
        <v>411</v>
      </c>
    </row>
    <row r="76" spans="2:5" ht="12.75">
      <c r="B76" s="286"/>
      <c r="D76" s="110"/>
      <c r="E76" s="287"/>
    </row>
    <row r="77" ht="12.75">
      <c r="S77" s="121" t="s">
        <v>412</v>
      </c>
    </row>
    <row r="78" spans="18:19" ht="12.75">
      <c r="R78" s="145">
        <f>R57*1.1</f>
        <v>66.968</v>
      </c>
      <c r="S78" s="288" t="s">
        <v>413</v>
      </c>
    </row>
    <row r="79" spans="18:19" ht="12.75">
      <c r="R79" s="145">
        <f>(R58+R59)*1.1</f>
        <v>267.85</v>
      </c>
      <c r="S79" s="288" t="s">
        <v>414</v>
      </c>
    </row>
    <row r="80" spans="18:19" ht="12.75">
      <c r="R80" s="145">
        <f>(R60+R61)*1.1</f>
        <v>167.40900000000002</v>
      </c>
      <c r="S80" s="288" t="s">
        <v>415</v>
      </c>
    </row>
    <row r="81" spans="18:20" ht="12.75">
      <c r="R81" s="145">
        <f>(R44+R45+R46+R47+R48+R49)*1.1</f>
        <v>1147.586</v>
      </c>
      <c r="S81" s="288" t="s">
        <v>416</v>
      </c>
      <c r="T81" s="288"/>
    </row>
    <row r="82" spans="18:20" ht="12.75">
      <c r="R82" s="145">
        <f>(R54+R55+R56)*1.1</f>
        <v>1739.4300000000003</v>
      </c>
      <c r="S82" s="288" t="s">
        <v>417</v>
      </c>
      <c r="T82" s="288"/>
    </row>
    <row r="83" ht="12.75">
      <c r="R83" s="166">
        <f>SUM(R78:R82)</f>
        <v>3389.2430000000004</v>
      </c>
    </row>
    <row r="84" ht="12.75">
      <c r="S84" s="288"/>
    </row>
  </sheetData>
  <sheetProtection/>
  <mergeCells count="6">
    <mergeCell ref="J8:R8"/>
    <mergeCell ref="G3:R3"/>
    <mergeCell ref="G4:R4"/>
    <mergeCell ref="J5:R5"/>
    <mergeCell ref="Q6:R6"/>
    <mergeCell ref="J7:R7"/>
  </mergeCells>
  <dataValidations count="4">
    <dataValidation allowBlank="1" showInputMessage="1" showErrorMessage="1" promptTitle="IDC Contingency" prompt="Don't change these figures - change in Summary Sheet if they are required to be changed" sqref="F70:F71"/>
    <dataValidation type="list" allowBlank="1" showInputMessage="1" showErrorMessage="1" sqref="B54:B56">
      <formula1>Civil</formula1>
    </dataValidation>
    <dataValidation allowBlank="1" showInputMessage="1" showErrorMessage="1" promptTitle="Manual Adjust" prompt="Please enter reason for Manual Adjustment in Comments column" sqref="Q54:Q61 Q44:Q49"/>
    <dataValidation type="list" allowBlank="1" showInputMessage="1" showErrorMessage="1" sqref="D9">
      <formula1>Sites</formula1>
    </dataValidation>
  </dataValidations>
  <hyperlinks>
    <hyperlink ref="E1" location="' UR -Summary '!A1" display="Summary"/>
  </hyperlinks>
  <printOptions gridLines="1"/>
  <pageMargins left="0.17" right="0.2" top="0.29" bottom="0.38" header="0.17" footer="0.17"/>
  <pageSetup fitToHeight="1" fitToWidth="1" horizontalDpi="600" verticalDpi="600" orientation="landscape" paperSize="9" scale="41" r:id="rId3"/>
  <headerFooter alignWithMargins="0">
    <oddHeader>&amp;R&amp;8Estimate template August 06</oddHeader>
    <oddFooter>&amp;L&amp;8&amp;D  &amp;T&amp;C&amp;8Page  &amp;P  of  &amp;N&amp;R&amp;8&amp;F  &amp;A</oddFooter>
  </headerFooter>
  <legacyDrawing r:id="rId2"/>
</worksheet>
</file>

<file path=xl/worksheets/sheet1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2" max="2" width="11.7109375" style="0" customWidth="1"/>
  </cols>
  <sheetData>
    <row r="2" spans="2:4" ht="12.75">
      <c r="B2" s="68" t="s">
        <v>785</v>
      </c>
      <c r="D2" s="410" t="s">
        <v>738</v>
      </c>
    </row>
    <row r="3" spans="2:4" ht="12.75">
      <c r="B3" s="426" t="s">
        <v>780</v>
      </c>
      <c r="D3" s="412">
        <f>SUM(Summary!F6:G34)</f>
        <v>0</v>
      </c>
    </row>
    <row r="4" spans="2:4" ht="12.75">
      <c r="B4" s="426"/>
      <c r="D4" s="412"/>
    </row>
    <row r="5" spans="2:4" ht="12.75">
      <c r="B5" s="426" t="s">
        <v>781</v>
      </c>
      <c r="D5" s="412">
        <f>'Actual Breakdown'!H305</f>
        <v>0</v>
      </c>
    </row>
    <row r="6" spans="2:4" ht="12.75">
      <c r="B6" s="426"/>
      <c r="D6" s="412"/>
    </row>
    <row r="7" spans="2:4" ht="12.75">
      <c r="B7" s="426" t="s">
        <v>782</v>
      </c>
      <c r="D7" s="412"/>
    </row>
    <row r="8" spans="3:4" ht="12.75">
      <c r="C8" t="s">
        <v>783</v>
      </c>
      <c r="D8" s="412">
        <f>'Cost Assignment'!E144+'Cost Assignment'!F144+'Cost Assignment'!E116</f>
        <v>0</v>
      </c>
    </row>
    <row r="9" spans="3:4" ht="12.75">
      <c r="C9" t="s">
        <v>784</v>
      </c>
      <c r="D9" s="412">
        <f>SUM('Cost Assignment'!U24:U113)</f>
        <v>0</v>
      </c>
    </row>
    <row r="10" spans="3:4" ht="12.75">
      <c r="C10" t="s">
        <v>784</v>
      </c>
      <c r="D10" s="412">
        <f>SUM('Cost Assignment'!AN25:AN113)</f>
        <v>0</v>
      </c>
    </row>
    <row r="11" ht="12.75">
      <c r="D11" s="412"/>
    </row>
  </sheetData>
  <sheetProtection/>
  <conditionalFormatting sqref="D3:D11">
    <cfRule type="cellIs" priority="1" dxfId="0" operator="notEqual">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75" customHeight="1">
      <c r="A1" s="68" t="s">
        <v>754</v>
      </c>
    </row>
    <row r="2" ht="12.75">
      <c r="A2" t="s">
        <v>787</v>
      </c>
    </row>
    <row r="3" ht="12.75">
      <c r="A3" t="s">
        <v>786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22:G53"/>
  <sheetViews>
    <sheetView tabSelected="1" zoomScalePageLayoutView="0" workbookViewId="0" topLeftCell="A1">
      <selection activeCell="A1" sqref="A1"/>
    </sheetView>
  </sheetViews>
  <sheetFormatPr defaultColWidth="9.140625" defaultRowHeight="12.75"/>
  <cols>
    <col min="1" max="1" width="6.00390625" style="100" customWidth="1"/>
    <col min="2" max="2" width="31.57421875" style="100" customWidth="1"/>
    <col min="3" max="3" width="12.57421875" style="100" customWidth="1"/>
    <col min="4" max="4" width="11.421875" style="100" customWidth="1"/>
    <col min="5" max="16384" width="9.140625" style="100" customWidth="1"/>
  </cols>
  <sheetData>
    <row r="1" ht="12.75"/>
    <row r="2" ht="12.75"/>
    <row r="3" ht="12.75"/>
    <row r="4" ht="12.75"/>
    <row r="5" ht="12.75"/>
    <row r="6" ht="12.75"/>
    <row r="7" ht="12.75"/>
    <row r="8" ht="12.75"/>
    <row r="9" ht="12.75"/>
    <row r="10" ht="12.75"/>
    <row r="11" ht="12.75"/>
    <row r="12" ht="12.75"/>
    <row r="13" ht="12.75"/>
    <row r="14" ht="75.75" customHeight="1"/>
    <row r="15" ht="127.5" customHeight="1"/>
    <row r="16" ht="50.25" customHeight="1"/>
    <row r="17" ht="79.5" customHeight="1"/>
    <row r="18" ht="12.75"/>
    <row r="19" ht="12.75"/>
    <row r="20" ht="12.75"/>
    <row r="21" ht="12.75"/>
    <row r="22" spans="3:4" ht="12.75">
      <c r="C22" s="101"/>
      <c r="D22" s="101"/>
    </row>
    <row r="23" spans="2:7" ht="22.5" customHeight="1">
      <c r="B23" s="102"/>
      <c r="C23" s="103"/>
      <c r="D23" s="103"/>
      <c r="F23" s="410"/>
      <c r="G23" s="410"/>
    </row>
    <row r="24" spans="2:7" ht="12.75">
      <c r="B24" s="102"/>
      <c r="C24" s="103"/>
      <c r="D24" s="103"/>
      <c r="F24" s="411"/>
      <c r="G24" s="411"/>
    </row>
    <row r="25" spans="1:7" ht="12.75">
      <c r="A25" s="104"/>
      <c r="B25" s="102"/>
      <c r="C25" s="105"/>
      <c r="D25" s="105"/>
      <c r="F25" s="412"/>
      <c r="G25" s="412"/>
    </row>
    <row r="26" spans="1:7" ht="12.75">
      <c r="A26" s="106"/>
      <c r="B26" s="107"/>
      <c r="C26" s="108"/>
      <c r="D26" s="66"/>
      <c r="F26" s="411"/>
      <c r="G26" s="411"/>
    </row>
    <row r="27" spans="2:7" ht="12.75">
      <c r="B27" s="107"/>
      <c r="C27" s="108"/>
      <c r="D27" s="66"/>
      <c r="F27" s="411"/>
      <c r="G27" s="411"/>
    </row>
    <row r="28" spans="2:7" ht="12.75">
      <c r="B28" s="107"/>
      <c r="C28" s="108"/>
      <c r="D28" s="66"/>
      <c r="F28" s="411"/>
      <c r="G28" s="411"/>
    </row>
    <row r="29" spans="2:7" ht="12.75">
      <c r="B29" s="107"/>
      <c r="C29" s="108"/>
      <c r="D29" s="66"/>
      <c r="F29" s="411"/>
      <c r="G29" s="411"/>
    </row>
    <row r="30" spans="2:7" ht="12.75">
      <c r="B30" s="107"/>
      <c r="C30" s="108"/>
      <c r="D30" s="66"/>
      <c r="F30" s="411"/>
      <c r="G30" s="411"/>
    </row>
    <row r="31" spans="2:7" ht="12.75">
      <c r="B31" s="107"/>
      <c r="C31" s="108"/>
      <c r="D31" s="108"/>
      <c r="F31" s="411"/>
      <c r="G31" s="411"/>
    </row>
    <row r="32" spans="1:7" ht="12.75">
      <c r="A32" s="104"/>
      <c r="B32" s="102"/>
      <c r="C32" s="105"/>
      <c r="D32" s="105"/>
      <c r="F32" s="412"/>
      <c r="G32" s="412"/>
    </row>
    <row r="33" spans="2:7" ht="12.75">
      <c r="B33" s="107"/>
      <c r="C33" s="108"/>
      <c r="D33" s="66"/>
      <c r="F33" s="413"/>
      <c r="G33" s="411"/>
    </row>
    <row r="34" spans="2:7" ht="12.75">
      <c r="B34" s="107"/>
      <c r="C34" s="108"/>
      <c r="D34" s="66"/>
      <c r="F34" s="411"/>
      <c r="G34" s="411"/>
    </row>
    <row r="35" spans="2:7" ht="12.75">
      <c r="B35" s="107"/>
      <c r="C35" s="108"/>
      <c r="D35" s="108"/>
      <c r="F35" s="411"/>
      <c r="G35" s="411"/>
    </row>
    <row r="36" spans="1:7" ht="12.75">
      <c r="A36" s="104"/>
      <c r="B36" s="102"/>
      <c r="C36" s="105"/>
      <c r="D36" s="105"/>
      <c r="F36" s="411"/>
      <c r="G36" s="411"/>
    </row>
    <row r="37" spans="1:7" ht="12.75">
      <c r="A37" s="106"/>
      <c r="B37" s="107"/>
      <c r="C37" s="108"/>
      <c r="D37" s="108"/>
      <c r="F37" s="411"/>
      <c r="G37" s="411"/>
    </row>
    <row r="38" spans="1:7" ht="12.75">
      <c r="A38" s="104"/>
      <c r="B38" s="102"/>
      <c r="C38" s="105"/>
      <c r="D38" s="105"/>
      <c r="F38" s="412"/>
      <c r="G38" s="412"/>
    </row>
    <row r="39" spans="1:7" ht="12.75">
      <c r="A39" s="106"/>
      <c r="B39" s="107"/>
      <c r="C39" s="108"/>
      <c r="D39" s="108"/>
      <c r="F39" s="411"/>
      <c r="G39" s="411"/>
    </row>
    <row r="40" spans="1:7" ht="12.75">
      <c r="A40" s="106"/>
      <c r="B40" s="107"/>
      <c r="C40" s="108"/>
      <c r="D40" s="108"/>
      <c r="F40" s="411"/>
      <c r="G40" s="411"/>
    </row>
    <row r="41" spans="1:7" ht="12.75">
      <c r="A41" s="106"/>
      <c r="B41" s="107"/>
      <c r="C41" s="108"/>
      <c r="D41" s="108"/>
      <c r="F41" s="411"/>
      <c r="G41" s="411"/>
    </row>
    <row r="42" spans="1:7" ht="12.75">
      <c r="A42" s="106"/>
      <c r="B42" s="107"/>
      <c r="C42" s="108"/>
      <c r="D42" s="108"/>
      <c r="F42" s="411"/>
      <c r="G42" s="411"/>
    </row>
    <row r="43" spans="1:7" ht="12.75">
      <c r="A43" s="104"/>
      <c r="B43" s="102"/>
      <c r="C43" s="105"/>
      <c r="D43" s="105"/>
      <c r="F43" s="412"/>
      <c r="G43" s="412"/>
    </row>
    <row r="44" spans="1:7" ht="12.75">
      <c r="A44" s="106"/>
      <c r="B44" s="107"/>
      <c r="C44" s="108"/>
      <c r="D44" s="108"/>
      <c r="F44" s="411"/>
      <c r="G44" s="411"/>
    </row>
    <row r="45" spans="1:7" ht="12.75">
      <c r="A45" s="106"/>
      <c r="B45" s="107"/>
      <c r="C45" s="108"/>
      <c r="D45" s="108"/>
      <c r="F45" s="411"/>
      <c r="G45" s="411"/>
    </row>
    <row r="46" spans="3:7" ht="12.75">
      <c r="C46" s="108"/>
      <c r="D46" s="108"/>
      <c r="F46" s="411"/>
      <c r="G46" s="411"/>
    </row>
    <row r="47" spans="1:7" ht="12.75">
      <c r="A47" s="104"/>
      <c r="B47" s="102"/>
      <c r="C47" s="105"/>
      <c r="D47" s="105"/>
      <c r="F47" s="411"/>
      <c r="G47" s="411"/>
    </row>
    <row r="48" spans="1:7" ht="12.75">
      <c r="A48" s="104"/>
      <c r="B48" s="104"/>
      <c r="C48" s="105"/>
      <c r="D48" s="105"/>
      <c r="F48" s="411"/>
      <c r="G48" s="411"/>
    </row>
    <row r="49" spans="1:7" ht="12.75">
      <c r="A49" s="104"/>
      <c r="B49" s="102"/>
      <c r="C49" s="105"/>
      <c r="D49" s="105"/>
      <c r="F49" s="411"/>
      <c r="G49" s="411"/>
    </row>
    <row r="50" spans="1:7" ht="12.75">
      <c r="A50" s="104"/>
      <c r="B50" s="104"/>
      <c r="C50" s="105"/>
      <c r="D50" s="105"/>
      <c r="F50" s="411"/>
      <c r="G50" s="411"/>
    </row>
    <row r="51" spans="1:7" ht="12.75">
      <c r="A51" s="104"/>
      <c r="B51" s="102"/>
      <c r="C51" s="105"/>
      <c r="D51" s="105"/>
      <c r="F51" s="411"/>
      <c r="G51" s="411"/>
    </row>
    <row r="52" spans="1:7" ht="12.75">
      <c r="A52" s="104"/>
      <c r="B52" s="102"/>
      <c r="F52" s="411"/>
      <c r="G52" s="411"/>
    </row>
    <row r="53" spans="2:7" ht="12.75">
      <c r="B53" s="102"/>
      <c r="C53" s="105"/>
      <c r="D53" s="105"/>
      <c r="F53" s="412"/>
      <c r="G53" s="412"/>
    </row>
  </sheetData>
  <sheetProtection/>
  <conditionalFormatting sqref="F25:G25">
    <cfRule type="cellIs" priority="7" dxfId="0" operator="notEqual">
      <formula>0</formula>
    </cfRule>
  </conditionalFormatting>
  <conditionalFormatting sqref="F32:G32">
    <cfRule type="cellIs" priority="6" dxfId="0" operator="notEqual">
      <formula>0</formula>
    </cfRule>
  </conditionalFormatting>
  <conditionalFormatting sqref="F38:G38">
    <cfRule type="cellIs" priority="5" dxfId="0" operator="notEqual">
      <formula>0</formula>
    </cfRule>
  </conditionalFormatting>
  <conditionalFormatting sqref="F43">
    <cfRule type="cellIs" priority="4" dxfId="0" operator="notEqual">
      <formula>0</formula>
    </cfRule>
  </conditionalFormatting>
  <conditionalFormatting sqref="G43">
    <cfRule type="cellIs" priority="3" dxfId="0" operator="notEqual">
      <formula>0</formula>
    </cfRule>
  </conditionalFormatting>
  <conditionalFormatting sqref="F53">
    <cfRule type="cellIs" priority="2" dxfId="0" operator="notEqual">
      <formula>0</formula>
    </cfRule>
  </conditionalFormatting>
  <conditionalFormatting sqref="G53">
    <cfRule type="cellIs" priority="1" dxfId="0" operator="notEqual">
      <formula>0</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9.140625" defaultRowHeight="12.75"/>
  <cols>
    <col min="1" max="1" width="6.00390625" style="100" customWidth="1"/>
    <col min="2" max="2" width="31.57421875" style="100" customWidth="1"/>
    <col min="3" max="3" width="12.57421875" style="100" customWidth="1"/>
    <col min="4" max="4" width="11.421875" style="100" customWidth="1"/>
    <col min="5" max="16384" width="9.140625" style="100" customWidth="1"/>
  </cols>
  <sheetData>
    <row r="1" ht="12.75">
      <c r="A1" s="68" t="s">
        <v>754</v>
      </c>
    </row>
    <row r="2" ht="12.75">
      <c r="A2" s="429" t="s">
        <v>789</v>
      </c>
    </row>
    <row r="3" spans="3:4" ht="19.5" customHeight="1">
      <c r="C3" s="101" t="s">
        <v>317</v>
      </c>
      <c r="D3" s="101"/>
    </row>
    <row r="4" spans="2:7" ht="22.5" customHeight="1">
      <c r="B4" s="102" t="s">
        <v>318</v>
      </c>
      <c r="C4" s="103" t="s">
        <v>743</v>
      </c>
      <c r="D4" s="103" t="s">
        <v>2</v>
      </c>
      <c r="F4" s="410" t="s">
        <v>738</v>
      </c>
      <c r="G4" s="410" t="s">
        <v>738</v>
      </c>
    </row>
    <row r="5" spans="2:7" ht="12.75">
      <c r="B5" s="102"/>
      <c r="C5" s="103"/>
      <c r="D5" s="103"/>
      <c r="F5" s="411"/>
      <c r="G5" s="411"/>
    </row>
    <row r="6" spans="1:7" ht="12.75">
      <c r="A6" s="104" t="s">
        <v>6</v>
      </c>
      <c r="B6" s="102" t="s">
        <v>7</v>
      </c>
      <c r="C6" s="105">
        <f>'Cost Assignment'!E6</f>
        <v>3528.127479444</v>
      </c>
      <c r="D6" s="105">
        <f>'Cost Assignment'!F6</f>
        <v>11000.893467</v>
      </c>
      <c r="F6" s="412">
        <f>SUM(C7:C11)-C6</f>
        <v>0</v>
      </c>
      <c r="G6" s="412">
        <f>SUM(D7:D11)-D6</f>
        <v>0</v>
      </c>
    </row>
    <row r="7" spans="1:7" ht="12.75">
      <c r="A7" s="106"/>
      <c r="B7" s="107" t="s">
        <v>319</v>
      </c>
      <c r="C7" s="108">
        <f>'3.Enabling Wks - General Civil'!$R$78*C6/'3.Enabling Wks - General Civil'!$R$83</f>
        <v>69.71221628056936</v>
      </c>
      <c r="D7" s="66">
        <f>'Actual Breakdown'!H292/'Actual Breakdown'!$H$297*$D$6</f>
        <v>3063.9876775353055</v>
      </c>
      <c r="F7" s="411"/>
      <c r="G7" s="411"/>
    </row>
    <row r="8" spans="2:7" ht="12.75">
      <c r="B8" s="107" t="s">
        <v>320</v>
      </c>
      <c r="C8" s="108">
        <f>'3.Enabling Wks - General Civil'!$R$79*C6/'3.Enabling Wks - General Civil'!$R$83</f>
        <v>278.82596360575957</v>
      </c>
      <c r="D8" s="66">
        <f>'Actual Breakdown'!H293/'Actual Breakdown'!$H$297*$D$6</f>
        <v>1789.4329653256962</v>
      </c>
      <c r="F8" s="411"/>
      <c r="G8" s="411"/>
    </row>
    <row r="9" spans="2:7" ht="12.75">
      <c r="B9" s="107" t="s">
        <v>321</v>
      </c>
      <c r="C9" s="108">
        <f>'3.Enabling Wks - General Civil'!$R$80*C6/'3.Enabling Wks - General Civil'!$R$83</f>
        <v>174.26908994316446</v>
      </c>
      <c r="D9" s="66">
        <f>'Actual Breakdown'!H294/'Actual Breakdown'!$H$297*$D$6</f>
        <v>1762.2080695374084</v>
      </c>
      <c r="F9" s="411"/>
      <c r="G9" s="411"/>
    </row>
    <row r="10" spans="2:7" ht="12.75">
      <c r="B10" s="107" t="s">
        <v>322</v>
      </c>
      <c r="C10" s="108">
        <f>'3.Enabling Wks - General Civil'!$R$81*C6/'3.Enabling Wks - General Civil'!$R$83</f>
        <v>1194.6118061246189</v>
      </c>
      <c r="D10" s="66">
        <f>'Actual Breakdown'!H295/'Actual Breakdown'!$H$297*$D$6</f>
        <v>1519.936138381583</v>
      </c>
      <c r="F10" s="411"/>
      <c r="G10" s="411"/>
    </row>
    <row r="11" spans="2:7" ht="12.75">
      <c r="B11" s="107" t="s">
        <v>323</v>
      </c>
      <c r="C11" s="108">
        <f>'3.Enabling Wks - General Civil'!$R$82*C6/'3.Enabling Wks - General Civil'!$R$83</f>
        <v>1810.7084034898876</v>
      </c>
      <c r="D11" s="66">
        <f>'Actual Breakdown'!H296/'Actual Breakdown'!$H$297*$D$6</f>
        <v>2865.3286162200066</v>
      </c>
      <c r="F11" s="411"/>
      <c r="G11" s="411"/>
    </row>
    <row r="12" spans="2:7" ht="12.75">
      <c r="B12" s="107"/>
      <c r="C12" s="108"/>
      <c r="D12" s="108"/>
      <c r="F12" s="411"/>
      <c r="G12" s="411"/>
    </row>
    <row r="13" spans="1:7" ht="12.75">
      <c r="A13" s="104" t="s">
        <v>13</v>
      </c>
      <c r="B13" s="102" t="s">
        <v>14</v>
      </c>
      <c r="C13" s="105">
        <f>'Cost Assignment'!E7</f>
        <v>2352.176656908</v>
      </c>
      <c r="D13" s="105">
        <f>'Cost Assignment'!F7</f>
        <v>4193.227715</v>
      </c>
      <c r="F13" s="412">
        <f>SUM(C14:C15)-C13</f>
        <v>0</v>
      </c>
      <c r="G13" s="412">
        <f>SUM(D14:D15)-D13</f>
        <v>0</v>
      </c>
    </row>
    <row r="14" spans="2:7" ht="12.75">
      <c r="B14" s="107" t="s">
        <v>324</v>
      </c>
      <c r="C14" s="108">
        <f>'2. Transmission Line Deviations'!$I$45*1.1/1000</f>
        <v>66</v>
      </c>
      <c r="D14" s="66">
        <f>'Actual Breakdown'!H299/'Actual Breakdown'!$H$301*$D$13</f>
        <v>2431.648600142938</v>
      </c>
      <c r="F14" s="413"/>
      <c r="G14" s="411"/>
    </row>
    <row r="15" spans="2:7" ht="12.75">
      <c r="B15" s="107" t="s">
        <v>325</v>
      </c>
      <c r="C15" s="108">
        <f>C13-C14</f>
        <v>2286.176656908</v>
      </c>
      <c r="D15" s="66">
        <f>'Actual Breakdown'!H300/'Actual Breakdown'!$H$301*$D$13</f>
        <v>1761.579114857062</v>
      </c>
      <c r="F15" s="411"/>
      <c r="G15" s="411"/>
    </row>
    <row r="16" spans="2:7" ht="12.75">
      <c r="B16" s="107"/>
      <c r="C16" s="108"/>
      <c r="D16" s="108"/>
      <c r="F16" s="411"/>
      <c r="G16" s="411"/>
    </row>
    <row r="17" spans="1:7" ht="12.75">
      <c r="A17" s="104" t="s">
        <v>17</v>
      </c>
      <c r="B17" s="102" t="s">
        <v>18</v>
      </c>
      <c r="C17" s="105">
        <f>'Cost Assignment'!E8</f>
        <v>2807.4272010140003</v>
      </c>
      <c r="D17" s="105">
        <f>'Cost Assignment'!F8</f>
        <v>7669.926516400001</v>
      </c>
      <c r="F17" s="411"/>
      <c r="G17" s="411"/>
    </row>
    <row r="18" spans="1:7" ht="12.75">
      <c r="A18" s="106"/>
      <c r="B18" s="107"/>
      <c r="C18" s="108"/>
      <c r="D18" s="108"/>
      <c r="F18" s="411"/>
      <c r="G18" s="411"/>
    </row>
    <row r="19" spans="1:7" ht="12.75">
      <c r="A19" s="104" t="s">
        <v>19</v>
      </c>
      <c r="B19" s="102" t="s">
        <v>20</v>
      </c>
      <c r="C19" s="105">
        <f>'Cost Assignment'!E9</f>
        <v>3170.0936110620005</v>
      </c>
      <c r="D19" s="105">
        <f>'Cost Assignment'!F9</f>
        <v>7068.021251600001</v>
      </c>
      <c r="F19" s="412">
        <f>SUM(C20:C22)-C19</f>
        <v>0</v>
      </c>
      <c r="G19" s="412">
        <f>SUM(D20:D22)-D19</f>
        <v>0</v>
      </c>
    </row>
    <row r="20" spans="1:7" ht="12.75">
      <c r="A20" s="106"/>
      <c r="B20" s="107" t="s">
        <v>418</v>
      </c>
      <c r="C20" s="108">
        <f>'Cost Assignment'!E141</f>
        <v>1247.8705388171622</v>
      </c>
      <c r="D20" s="108">
        <f>'Cost Assignment'!F141</f>
        <v>2147.017261812567</v>
      </c>
      <c r="F20" s="411"/>
      <c r="G20" s="411"/>
    </row>
    <row r="21" spans="1:7" ht="12.75">
      <c r="A21" s="106"/>
      <c r="B21" s="107" t="s">
        <v>419</v>
      </c>
      <c r="C21" s="108">
        <f>'Cost Assignment'!E142</f>
        <v>1629.3392543604043</v>
      </c>
      <c r="D21" s="108">
        <f>'Cost Assignment'!F142</f>
        <v>3935.7976791599676</v>
      </c>
      <c r="F21" s="411"/>
      <c r="G21" s="411"/>
    </row>
    <row r="22" spans="1:7" ht="12.75">
      <c r="A22" s="106"/>
      <c r="B22" s="107" t="s">
        <v>420</v>
      </c>
      <c r="C22" s="108">
        <f>'Cost Assignment'!E143</f>
        <v>292.8838178844341</v>
      </c>
      <c r="D22" s="108">
        <f>'Cost Assignment'!F143</f>
        <v>985.2063106274667</v>
      </c>
      <c r="F22" s="411"/>
      <c r="G22" s="411"/>
    </row>
    <row r="23" spans="1:7" ht="12.75">
      <c r="A23" s="106"/>
      <c r="B23" s="107"/>
      <c r="C23" s="108"/>
      <c r="D23" s="108"/>
      <c r="F23" s="411"/>
      <c r="G23" s="411"/>
    </row>
    <row r="24" spans="1:7" ht="12.75">
      <c r="A24" s="104" t="s">
        <v>24</v>
      </c>
      <c r="B24" s="102" t="s">
        <v>25</v>
      </c>
      <c r="C24" s="105">
        <f>'Cost Assignment'!E10</f>
        <v>3386.042267512</v>
      </c>
      <c r="D24" s="105">
        <f>'Cost Assignment'!F10</f>
        <v>3904.1809733000005</v>
      </c>
      <c r="F24" s="412">
        <f>SUM(C25:C26)-C24</f>
        <v>0</v>
      </c>
      <c r="G24" s="412">
        <f>SUM(D25:D26)-D24</f>
        <v>0</v>
      </c>
    </row>
    <row r="25" spans="1:7" ht="12.75">
      <c r="A25" s="106"/>
      <c r="B25" s="107" t="s">
        <v>326</v>
      </c>
      <c r="C25" s="108">
        <f>'Cost Assignment'!E64</f>
        <v>560.4</v>
      </c>
      <c r="D25" s="108">
        <f>'Cost Assignment'!F64</f>
        <v>971.22109</v>
      </c>
      <c r="F25" s="411"/>
      <c r="G25" s="411"/>
    </row>
    <row r="26" spans="1:7" ht="12.75">
      <c r="A26" s="106"/>
      <c r="B26" s="107" t="s">
        <v>327</v>
      </c>
      <c r="C26" s="108">
        <f>C24-C25</f>
        <v>2825.6422675119998</v>
      </c>
      <c r="D26" s="108">
        <f>D24-D25</f>
        <v>2932.9598833000005</v>
      </c>
      <c r="F26" s="411"/>
      <c r="G26" s="411"/>
    </row>
    <row r="27" spans="3:7" ht="12.75">
      <c r="C27" s="108"/>
      <c r="D27" s="108"/>
      <c r="F27" s="411"/>
      <c r="G27" s="411"/>
    </row>
    <row r="28" spans="1:7" ht="12.75">
      <c r="A28" s="104" t="s">
        <v>28</v>
      </c>
      <c r="B28" s="102" t="s">
        <v>29</v>
      </c>
      <c r="C28" s="105">
        <f>'Cost Assignment'!E11</f>
        <v>58163.94475806</v>
      </c>
      <c r="D28" s="105">
        <f>'Cost Assignment'!F11</f>
        <v>64198.66444669999</v>
      </c>
      <c r="F28" s="411"/>
      <c r="G28" s="411"/>
    </row>
    <row r="29" spans="1:7" ht="12.75">
      <c r="A29" s="104"/>
      <c r="B29" s="104"/>
      <c r="C29" s="105"/>
      <c r="D29" s="105"/>
      <c r="F29" s="411"/>
      <c r="G29" s="411"/>
    </row>
    <row r="30" spans="1:7" ht="12.75">
      <c r="A30" s="104" t="s">
        <v>30</v>
      </c>
      <c r="B30" s="102" t="s">
        <v>31</v>
      </c>
      <c r="C30" s="105">
        <f>'Cost Assignment'!E12</f>
        <v>0</v>
      </c>
      <c r="D30" s="105">
        <f>'Cost Assignment'!F12</f>
        <v>1200</v>
      </c>
      <c r="F30" s="411"/>
      <c r="G30" s="411"/>
    </row>
    <row r="31" spans="1:7" ht="12.75">
      <c r="A31" s="104"/>
      <c r="B31" s="104"/>
      <c r="C31" s="105"/>
      <c r="D31" s="105"/>
      <c r="F31" s="411"/>
      <c r="G31" s="411"/>
    </row>
    <row r="32" spans="1:7" ht="12.75">
      <c r="A32" s="104" t="s">
        <v>32</v>
      </c>
      <c r="B32" s="102" t="s">
        <v>33</v>
      </c>
      <c r="C32" s="105">
        <f>'Cost Assignment'!E13</f>
        <v>3203.2699999999995</v>
      </c>
      <c r="D32" s="105">
        <f>'Cost Assignment'!F13</f>
        <v>6914.282720000001</v>
      </c>
      <c r="F32" s="411"/>
      <c r="G32" s="411"/>
    </row>
    <row r="33" spans="1:7" ht="12.75">
      <c r="A33" s="104"/>
      <c r="B33" s="102"/>
      <c r="F33" s="411"/>
      <c r="G33" s="411"/>
    </row>
    <row r="34" spans="2:7" ht="12.75">
      <c r="B34" s="102" t="s">
        <v>34</v>
      </c>
      <c r="C34" s="105">
        <f>C6+C13+C17+C19+C24+C28+C30+C32</f>
        <v>76611.08197400002</v>
      </c>
      <c r="D34" s="105">
        <f>D6+D13+D17+D19+D24+D28+D30+D32</f>
        <v>106149.19708999999</v>
      </c>
      <c r="F34" s="412">
        <f>C34-'Cost Assignment'!E14</f>
        <v>0</v>
      </c>
      <c r="G34" s="412">
        <f>D34-'Cost Assignment'!F14</f>
        <v>0</v>
      </c>
    </row>
  </sheetData>
  <sheetProtection/>
  <conditionalFormatting sqref="F6:G6">
    <cfRule type="cellIs" priority="7" dxfId="0" operator="notEqual">
      <formula>0</formula>
    </cfRule>
  </conditionalFormatting>
  <conditionalFormatting sqref="F13:G13">
    <cfRule type="cellIs" priority="6" dxfId="0" operator="notEqual">
      <formula>0</formula>
    </cfRule>
  </conditionalFormatting>
  <conditionalFormatting sqref="F19:G19">
    <cfRule type="cellIs" priority="5" dxfId="0" operator="notEqual">
      <formula>0</formula>
    </cfRule>
  </conditionalFormatting>
  <conditionalFormatting sqref="F24">
    <cfRule type="cellIs" priority="4" dxfId="0" operator="notEqual">
      <formula>0</formula>
    </cfRule>
  </conditionalFormatting>
  <conditionalFormatting sqref="G24">
    <cfRule type="cellIs" priority="3" dxfId="0" operator="notEqual">
      <formula>0</formula>
    </cfRule>
  </conditionalFormatting>
  <conditionalFormatting sqref="F34">
    <cfRule type="cellIs" priority="2" dxfId="0" operator="notEqual">
      <formula>0</formula>
    </cfRule>
  </conditionalFormatting>
  <conditionalFormatting sqref="G34">
    <cfRule type="cellIs" priority="1" dxfId="0" operator="notEqual">
      <formula>0</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T210"/>
  <sheetViews>
    <sheetView zoomScalePageLayoutView="0" workbookViewId="0" topLeftCell="A1">
      <selection activeCell="A1" sqref="A1"/>
    </sheetView>
  </sheetViews>
  <sheetFormatPr defaultColWidth="9.140625" defaultRowHeight="12.75" outlineLevelCol="1"/>
  <cols>
    <col min="1" max="1" width="6.140625" style="38" customWidth="1"/>
    <col min="2" max="2" width="14.00390625" style="38" customWidth="1"/>
    <col min="3" max="3" width="7.28125" style="38" customWidth="1"/>
    <col min="4" max="4" width="41.28125" style="38" customWidth="1"/>
    <col min="5" max="7" width="9.140625" style="38" customWidth="1"/>
    <col min="8" max="11" width="9.140625" style="40" customWidth="1"/>
    <col min="12" max="12" width="9.8515625" style="40" hidden="1" customWidth="1" outlineLevel="1"/>
    <col min="13" max="13" width="9.421875" style="38" hidden="1" customWidth="1" outlineLevel="1"/>
    <col min="14" max="15" width="10.8515625" style="38" hidden="1" customWidth="1" outlineLevel="1"/>
    <col min="16" max="16" width="10.28125" style="38" hidden="1" customWidth="1" outlineLevel="1"/>
    <col min="17" max="17" width="11.57421875" style="38" hidden="1" customWidth="1" outlineLevel="1"/>
    <col min="18" max="18" width="11.00390625" style="38" hidden="1" customWidth="1" outlineLevel="1"/>
    <col min="19" max="19" width="10.57421875" style="38" hidden="1" customWidth="1" outlineLevel="1"/>
    <col min="20" max="20" width="11.7109375" style="38" hidden="1" customWidth="1" outlineLevel="1"/>
    <col min="21" max="21" width="7.421875" style="39" hidden="1" customWidth="1" outlineLevel="1"/>
    <col min="22" max="22" width="5.00390625" style="38" customWidth="1" collapsed="1"/>
    <col min="23" max="30" width="9.140625" style="38" hidden="1" customWidth="1" outlineLevel="1"/>
    <col min="31" max="31" width="4.7109375" style="38" customWidth="1" collapsed="1"/>
    <col min="32" max="32" width="7.57421875" style="38" hidden="1" customWidth="1" outlineLevel="1"/>
    <col min="33" max="33" width="8.140625" style="38" hidden="1" customWidth="1" outlineLevel="1"/>
    <col min="34" max="34" width="8.7109375" style="38" hidden="1" customWidth="1" outlineLevel="1"/>
    <col min="35" max="35" width="8.57421875" style="38" hidden="1" customWidth="1" outlineLevel="1"/>
    <col min="36" max="37" width="8.28125" style="38" hidden="1" customWidth="1" outlineLevel="1"/>
    <col min="38" max="38" width="8.57421875" style="38" hidden="1" customWidth="1" outlineLevel="1"/>
    <col min="39" max="39" width="9.140625" style="38" hidden="1" customWidth="1" outlineLevel="1"/>
    <col min="40" max="40" width="6.140625" style="39" hidden="1" customWidth="1" outlineLevel="1"/>
    <col min="41" max="41" width="3.28125" style="38" customWidth="1" collapsed="1"/>
    <col min="42" max="48" width="9.140625" style="38" hidden="1" customWidth="1" outlineLevel="1"/>
    <col min="49" max="49" width="11.00390625" style="38" hidden="1" customWidth="1" outlineLevel="1"/>
    <col min="50" max="50" width="11.00390625" style="38" customWidth="1" collapsed="1"/>
    <col min="51" max="51" width="9.57421875" style="38" customWidth="1" outlineLevel="1"/>
    <col min="52" max="60" width="9.140625" style="38" customWidth="1" outlineLevel="1"/>
    <col min="61" max="61" width="9.140625" style="38" customWidth="1"/>
    <col min="62" max="71" width="9.140625" style="38" customWidth="1" outlineLevel="1"/>
    <col min="72" max="72" width="9.57421875" style="38" bestFit="1" customWidth="1"/>
    <col min="73" max="16384" width="9.140625" style="38" customWidth="1"/>
  </cols>
  <sheetData>
    <row r="1" spans="1:2" ht="12.75">
      <c r="A1" s="339" t="s">
        <v>766</v>
      </c>
      <c r="B1" s="42"/>
    </row>
    <row r="2" ht="12.75">
      <c r="A2" s="339" t="s">
        <v>767</v>
      </c>
    </row>
    <row r="3" ht="12.75">
      <c r="A3" s="339"/>
    </row>
    <row r="4" spans="3:64" ht="12.75">
      <c r="C4" s="339" t="s">
        <v>773</v>
      </c>
      <c r="BB4" s="339" t="s">
        <v>764</v>
      </c>
      <c r="BL4" s="339" t="s">
        <v>765</v>
      </c>
    </row>
    <row r="5" spans="3:69" ht="22.5">
      <c r="C5" s="38" t="s">
        <v>727</v>
      </c>
      <c r="D5" s="42" t="s">
        <v>164</v>
      </c>
      <c r="E5" s="379" t="s">
        <v>743</v>
      </c>
      <c r="F5" s="379" t="s">
        <v>2</v>
      </c>
      <c r="G5" s="393" t="s">
        <v>152</v>
      </c>
      <c r="H5" s="394" t="s">
        <v>151</v>
      </c>
      <c r="I5" s="414"/>
      <c r="J5" s="414"/>
      <c r="K5" s="45"/>
      <c r="BC5" s="42" t="str">
        <f aca="true" t="shared" si="0" ref="BC5:BC14">D5</f>
        <v>Overspend Category</v>
      </c>
      <c r="BD5" s="61" t="str">
        <f aca="true" t="shared" si="1" ref="BD5:BD14">E5</f>
        <v>PAD Budget</v>
      </c>
      <c r="BE5" s="61" t="s">
        <v>163</v>
      </c>
      <c r="BF5" s="50" t="s">
        <v>152</v>
      </c>
      <c r="BG5" s="45" t="s">
        <v>151</v>
      </c>
      <c r="BL5" s="38" t="str">
        <f aca="true" t="shared" si="2" ref="BL5:BL17">C5</f>
        <v>Category</v>
      </c>
      <c r="BM5" s="42" t="str">
        <f aca="true" t="shared" si="3" ref="BM5:BM17">D5</f>
        <v>Overspend Category</v>
      </c>
      <c r="BN5" s="61" t="str">
        <f aca="true" t="shared" si="4" ref="BN5:BN17">E5</f>
        <v>PAD Budget</v>
      </c>
      <c r="BO5" s="61" t="s">
        <v>162</v>
      </c>
      <c r="BP5" s="50" t="s">
        <v>152</v>
      </c>
      <c r="BQ5" s="45" t="s">
        <v>151</v>
      </c>
    </row>
    <row r="6" spans="3:69" ht="11.25">
      <c r="C6" s="40" t="str">
        <f>M22</f>
        <v>A</v>
      </c>
      <c r="D6" s="38" t="str">
        <f>M23</f>
        <v>Enabling Works Civil General</v>
      </c>
      <c r="E6" s="395">
        <f>W114</f>
        <v>3528.127479444</v>
      </c>
      <c r="F6" s="395">
        <f>AP114</f>
        <v>11000.893467</v>
      </c>
      <c r="G6" s="395">
        <f aca="true" t="shared" si="5" ref="G6:G13">F6-E6</f>
        <v>7472.765987556</v>
      </c>
      <c r="H6" s="396">
        <f aca="true" t="shared" si="6" ref="H6:H14">IF(E6=0,"'NA'",G6/E6)</f>
        <v>2.118054415860744</v>
      </c>
      <c r="I6" s="415"/>
      <c r="J6" s="415"/>
      <c r="K6" s="46"/>
      <c r="BB6" s="40" t="str">
        <f aca="true" t="shared" si="7" ref="BB6:BB13">C6</f>
        <v>A</v>
      </c>
      <c r="BC6" s="38" t="str">
        <f t="shared" si="0"/>
        <v>Enabling Works Civil General</v>
      </c>
      <c r="BD6" s="41">
        <f t="shared" si="1"/>
        <v>3528.127479444</v>
      </c>
      <c r="BE6" s="41">
        <f>BA114</f>
        <v>4935.26530768</v>
      </c>
      <c r="BF6" s="41">
        <f aca="true" t="shared" si="8" ref="BF6:BF13">BE6-BD6</f>
        <v>1407.1378282359997</v>
      </c>
      <c r="BG6" s="46">
        <f aca="true" t="shared" si="9" ref="BG6:BG14">IF(BD6=0,"'NA'",BF6/BD6)</f>
        <v>0.3988341794434683</v>
      </c>
      <c r="BL6" s="40" t="str">
        <f t="shared" si="2"/>
        <v>A</v>
      </c>
      <c r="BM6" s="38" t="str">
        <f t="shared" si="3"/>
        <v>Enabling Works Civil General</v>
      </c>
      <c r="BN6" s="41">
        <f t="shared" si="4"/>
        <v>3528.127479444</v>
      </c>
      <c r="BO6" s="41">
        <f>BL114</f>
        <v>9658.45936</v>
      </c>
      <c r="BP6" s="41">
        <f aca="true" t="shared" si="10" ref="BP6:BP13">BO6-BN6</f>
        <v>6130.331880556001</v>
      </c>
      <c r="BQ6" s="46">
        <f aca="true" t="shared" si="11" ref="BQ6:BQ14">IF(BN6=0,"'NA'",BP6/BN6)</f>
        <v>1.7375596307880814</v>
      </c>
    </row>
    <row r="7" spans="3:69" ht="11.25">
      <c r="C7" s="40" t="str">
        <f>N22</f>
        <v>B</v>
      </c>
      <c r="D7" s="38" t="str">
        <f>N23</f>
        <v>Transmission Line Deviations</v>
      </c>
      <c r="E7" s="397">
        <f>X114</f>
        <v>2352.176656908</v>
      </c>
      <c r="F7" s="397">
        <f>AQ114</f>
        <v>4193.227715</v>
      </c>
      <c r="G7" s="397">
        <f t="shared" si="5"/>
        <v>1841.051058092</v>
      </c>
      <c r="H7" s="398">
        <f t="shared" si="6"/>
        <v>0.7827010155402662</v>
      </c>
      <c r="I7" s="415"/>
      <c r="J7" s="415"/>
      <c r="K7" s="46"/>
      <c r="BB7" s="40" t="str">
        <f t="shared" si="7"/>
        <v>B</v>
      </c>
      <c r="BC7" s="38" t="str">
        <f t="shared" si="0"/>
        <v>Transmission Line Deviations</v>
      </c>
      <c r="BD7" s="41">
        <f t="shared" si="1"/>
        <v>2352.176656908</v>
      </c>
      <c r="BE7" s="41">
        <f>BB114</f>
        <v>3436.1052532000003</v>
      </c>
      <c r="BF7" s="41">
        <f t="shared" si="8"/>
        <v>1083.9285962920003</v>
      </c>
      <c r="BG7" s="46">
        <f t="shared" si="9"/>
        <v>0.46081938323325333</v>
      </c>
      <c r="BL7" s="40" t="str">
        <f t="shared" si="2"/>
        <v>B</v>
      </c>
      <c r="BM7" s="38" t="str">
        <f t="shared" si="3"/>
        <v>Transmission Line Deviations</v>
      </c>
      <c r="BN7" s="41">
        <f t="shared" si="4"/>
        <v>2352.176656908</v>
      </c>
      <c r="BO7" s="41">
        <f>BM114</f>
        <v>4021.3664</v>
      </c>
      <c r="BP7" s="41">
        <f t="shared" si="10"/>
        <v>1669.1897430919998</v>
      </c>
      <c r="BQ7" s="46">
        <f t="shared" si="11"/>
        <v>0.7096362163912446</v>
      </c>
    </row>
    <row r="8" spans="3:69" ht="11.25">
      <c r="C8" s="40" t="str">
        <f>O22</f>
        <v>C</v>
      </c>
      <c r="D8" s="38" t="str">
        <f>O23</f>
        <v>Enabling Works Secondary Equipment Design &amp; Install</v>
      </c>
      <c r="E8" s="397">
        <f>Y114</f>
        <v>2807.4272010140003</v>
      </c>
      <c r="F8" s="397">
        <f>AR114</f>
        <v>7669.926516400001</v>
      </c>
      <c r="G8" s="397">
        <f t="shared" si="5"/>
        <v>4862.4993153860005</v>
      </c>
      <c r="H8" s="398">
        <f t="shared" si="6"/>
        <v>1.7320126105602094</v>
      </c>
      <c r="I8" s="415"/>
      <c r="J8" s="415"/>
      <c r="K8" s="46"/>
      <c r="BB8" s="40" t="str">
        <f t="shared" si="7"/>
        <v>C</v>
      </c>
      <c r="BC8" s="38" t="str">
        <f t="shared" si="0"/>
        <v>Enabling Works Secondary Equipment Design &amp; Install</v>
      </c>
      <c r="BD8" s="41">
        <f t="shared" si="1"/>
        <v>2807.4272010140003</v>
      </c>
      <c r="BE8" s="41">
        <f>BC114</f>
        <v>3177.8227595999997</v>
      </c>
      <c r="BF8" s="41">
        <f t="shared" si="8"/>
        <v>370.3955585859994</v>
      </c>
      <c r="BG8" s="46">
        <f t="shared" si="9"/>
        <v>0.1319341632268214</v>
      </c>
      <c r="BL8" s="40" t="str">
        <f t="shared" si="2"/>
        <v>C</v>
      </c>
      <c r="BM8" s="38" t="str">
        <f t="shared" si="3"/>
        <v>Enabling Works Secondary Equipment Design &amp; Install</v>
      </c>
      <c r="BN8" s="41">
        <f t="shared" si="4"/>
        <v>2807.4272010140003</v>
      </c>
      <c r="BO8" s="41">
        <f>BN114</f>
        <v>5380.5491999999995</v>
      </c>
      <c r="BP8" s="41">
        <f t="shared" si="10"/>
        <v>2573.121998985999</v>
      </c>
      <c r="BQ8" s="46">
        <f t="shared" si="11"/>
        <v>0.9165409518211644</v>
      </c>
    </row>
    <row r="9" spans="3:69" ht="11.25">
      <c r="C9" s="40" t="str">
        <f>P22</f>
        <v>D</v>
      </c>
      <c r="D9" s="38" t="str">
        <f>P23</f>
        <v>EW Transition Station &amp; Cable Termination Design &amp; Install</v>
      </c>
      <c r="E9" s="397">
        <f>Z114</f>
        <v>3170.0936110620005</v>
      </c>
      <c r="F9" s="397">
        <f>AS114</f>
        <v>7068.021251600001</v>
      </c>
      <c r="G9" s="397">
        <f t="shared" si="5"/>
        <v>3897.9276405380006</v>
      </c>
      <c r="H9" s="398">
        <f t="shared" si="6"/>
        <v>1.2295938602368814</v>
      </c>
      <c r="I9" s="415"/>
      <c r="J9" s="415"/>
      <c r="K9" s="46"/>
      <c r="BB9" s="40" t="str">
        <f t="shared" si="7"/>
        <v>D</v>
      </c>
      <c r="BC9" s="38" t="str">
        <f t="shared" si="0"/>
        <v>EW Transition Station &amp; Cable Termination Design &amp; Install</v>
      </c>
      <c r="BD9" s="41">
        <f t="shared" si="1"/>
        <v>3170.0936110620005</v>
      </c>
      <c r="BE9" s="41">
        <f>BD114</f>
        <v>3758.5821089600004</v>
      </c>
      <c r="BF9" s="41">
        <f t="shared" si="8"/>
        <v>588.4884978979999</v>
      </c>
      <c r="BG9" s="46">
        <f t="shared" si="9"/>
        <v>0.18563757733982267</v>
      </c>
      <c r="BL9" s="40" t="str">
        <f t="shared" si="2"/>
        <v>D</v>
      </c>
      <c r="BM9" s="38" t="str">
        <f t="shared" si="3"/>
        <v>EW Transition Station &amp; Cable Termination Design &amp; Install</v>
      </c>
      <c r="BN9" s="41">
        <f t="shared" si="4"/>
        <v>3170.0936110620005</v>
      </c>
      <c r="BO9" s="41">
        <f>BO114</f>
        <v>4384.23592</v>
      </c>
      <c r="BP9" s="41">
        <f t="shared" si="10"/>
        <v>1214.1423089379996</v>
      </c>
      <c r="BQ9" s="46">
        <f t="shared" si="11"/>
        <v>0.38299888202079135</v>
      </c>
    </row>
    <row r="10" spans="3:69" ht="11.25">
      <c r="C10" s="40" t="str">
        <f>Q22</f>
        <v>E</v>
      </c>
      <c r="D10" s="38" t="str">
        <f>Q23</f>
        <v>Enabling Works Procurement</v>
      </c>
      <c r="E10" s="397">
        <f>AA114</f>
        <v>3386.042267512</v>
      </c>
      <c r="F10" s="397">
        <f>AT114</f>
        <v>3904.1809733000005</v>
      </c>
      <c r="G10" s="397">
        <f t="shared" si="5"/>
        <v>518.1387057880006</v>
      </c>
      <c r="H10" s="398">
        <f t="shared" si="6"/>
        <v>0.1530219249651361</v>
      </c>
      <c r="I10" s="415"/>
      <c r="J10" s="415"/>
      <c r="K10" s="46"/>
      <c r="BB10" s="40" t="str">
        <f t="shared" si="7"/>
        <v>E</v>
      </c>
      <c r="BC10" s="38" t="str">
        <f t="shared" si="0"/>
        <v>Enabling Works Procurement</v>
      </c>
      <c r="BD10" s="41">
        <f t="shared" si="1"/>
        <v>3386.042267512</v>
      </c>
      <c r="BE10" s="41">
        <f>BE114</f>
        <v>3373.73294064</v>
      </c>
      <c r="BF10" s="41">
        <f t="shared" si="8"/>
        <v>-12.309326871999929</v>
      </c>
      <c r="BG10" s="46">
        <f t="shared" si="9"/>
        <v>-0.0036353140036390007</v>
      </c>
      <c r="BL10" s="40" t="str">
        <f t="shared" si="2"/>
        <v>E</v>
      </c>
      <c r="BM10" s="38" t="str">
        <f t="shared" si="3"/>
        <v>Enabling Works Procurement</v>
      </c>
      <c r="BN10" s="41">
        <f t="shared" si="4"/>
        <v>3386.042267512</v>
      </c>
      <c r="BO10" s="41">
        <f>BP114</f>
        <v>3487.65399</v>
      </c>
      <c r="BP10" s="41">
        <f t="shared" si="10"/>
        <v>101.61172248799994</v>
      </c>
      <c r="BQ10" s="46">
        <f t="shared" si="11"/>
        <v>0.03000899411768487</v>
      </c>
    </row>
    <row r="11" spans="3:69" ht="11.25">
      <c r="C11" s="40" t="str">
        <f>R22</f>
        <v>F</v>
      </c>
      <c r="D11" s="38" t="str">
        <f>R23</f>
        <v>Design Build  GIS/AIS &amp; EHV Cable</v>
      </c>
      <c r="E11" s="397">
        <f>AB114</f>
        <v>58163.94475806</v>
      </c>
      <c r="F11" s="397">
        <f>AU114</f>
        <v>64198.66444669999</v>
      </c>
      <c r="G11" s="397">
        <f t="shared" si="5"/>
        <v>6034.719688639991</v>
      </c>
      <c r="H11" s="398">
        <f t="shared" si="6"/>
        <v>0.10375361770495692</v>
      </c>
      <c r="I11" s="415"/>
      <c r="J11" s="415"/>
      <c r="K11" s="46"/>
      <c r="BB11" s="40" t="str">
        <f t="shared" si="7"/>
        <v>F</v>
      </c>
      <c r="BC11" s="38" t="str">
        <f t="shared" si="0"/>
        <v>Design Build  GIS/AIS &amp; EHV Cable</v>
      </c>
      <c r="BD11" s="41">
        <f t="shared" si="1"/>
        <v>58163.94475806</v>
      </c>
      <c r="BE11" s="41">
        <f>BF114</f>
        <v>54455.05052992</v>
      </c>
      <c r="BF11" s="41">
        <f t="shared" si="8"/>
        <v>-3708.8942281400014</v>
      </c>
      <c r="BG11" s="46">
        <f t="shared" si="9"/>
        <v>-0.06376620849166262</v>
      </c>
      <c r="BL11" s="40" t="str">
        <f t="shared" si="2"/>
        <v>F</v>
      </c>
      <c r="BM11" s="38" t="str">
        <f t="shared" si="3"/>
        <v>Design Build  GIS/AIS &amp; EHV Cable</v>
      </c>
      <c r="BN11" s="41">
        <f t="shared" si="4"/>
        <v>58163.94475806</v>
      </c>
      <c r="BO11" s="41">
        <f>BQ114</f>
        <v>62080.00113</v>
      </c>
      <c r="BP11" s="41">
        <f t="shared" si="10"/>
        <v>3916.0563719399943</v>
      </c>
      <c r="BQ11" s="46">
        <f t="shared" si="11"/>
        <v>0.06732790198858256</v>
      </c>
    </row>
    <row r="12" spans="3:69" ht="11.25">
      <c r="C12" s="40" t="str">
        <f>S22</f>
        <v>G</v>
      </c>
      <c r="D12" s="38" t="str">
        <f>S23</f>
        <v>Land Easement</v>
      </c>
      <c r="E12" s="397">
        <f>AC114</f>
        <v>0</v>
      </c>
      <c r="F12" s="397">
        <f>AV114</f>
        <v>1200</v>
      </c>
      <c r="G12" s="397">
        <f t="shared" si="5"/>
        <v>1200</v>
      </c>
      <c r="H12" s="398" t="str">
        <f t="shared" si="6"/>
        <v>'NA'</v>
      </c>
      <c r="I12" s="415"/>
      <c r="J12" s="415"/>
      <c r="K12" s="46"/>
      <c r="BB12" s="40" t="str">
        <f t="shared" si="7"/>
        <v>G</v>
      </c>
      <c r="BC12" s="38" t="str">
        <f t="shared" si="0"/>
        <v>Land Easement</v>
      </c>
      <c r="BD12" s="41">
        <f t="shared" si="1"/>
        <v>0</v>
      </c>
      <c r="BE12" s="41">
        <f>BG114</f>
        <v>0</v>
      </c>
      <c r="BF12" s="41">
        <f t="shared" si="8"/>
        <v>0</v>
      </c>
      <c r="BG12" s="46" t="str">
        <f t="shared" si="9"/>
        <v>'NA'</v>
      </c>
      <c r="BL12" s="40" t="str">
        <f t="shared" si="2"/>
        <v>G</v>
      </c>
      <c r="BM12" s="38" t="str">
        <f t="shared" si="3"/>
        <v>Land Easement</v>
      </c>
      <c r="BN12" s="41">
        <f t="shared" si="4"/>
        <v>0</v>
      </c>
      <c r="BO12" s="41">
        <f>BR114</f>
        <v>0</v>
      </c>
      <c r="BP12" s="41">
        <f t="shared" si="10"/>
        <v>0</v>
      </c>
      <c r="BQ12" s="46" t="str">
        <f t="shared" si="11"/>
        <v>'NA'</v>
      </c>
    </row>
    <row r="13" spans="3:69" ht="11.25">
      <c r="C13" s="40" t="str">
        <f>T22</f>
        <v>H</v>
      </c>
      <c r="D13" s="38" t="str">
        <f>T23</f>
        <v>Interest During Construction</v>
      </c>
      <c r="E13" s="399">
        <f>AD114</f>
        <v>3203.2699999999995</v>
      </c>
      <c r="F13" s="399">
        <f>AW114</f>
        <v>6914.282720000001</v>
      </c>
      <c r="G13" s="399">
        <f t="shared" si="5"/>
        <v>3711.0127200000015</v>
      </c>
      <c r="H13" s="400">
        <f t="shared" si="6"/>
        <v>1.1585076250206827</v>
      </c>
      <c r="I13" s="415"/>
      <c r="J13" s="415"/>
      <c r="K13" s="46"/>
      <c r="BB13" s="40" t="str">
        <f t="shared" si="7"/>
        <v>H</v>
      </c>
      <c r="BC13" s="38" t="str">
        <f t="shared" si="0"/>
        <v>Interest During Construction</v>
      </c>
      <c r="BD13" s="41">
        <f t="shared" si="1"/>
        <v>3203.2699999999995</v>
      </c>
      <c r="BE13" s="41">
        <f>BH114</f>
        <v>4939</v>
      </c>
      <c r="BF13" s="41">
        <f t="shared" si="8"/>
        <v>1735.7300000000005</v>
      </c>
      <c r="BG13" s="46">
        <f t="shared" si="9"/>
        <v>0.5418619098608611</v>
      </c>
      <c r="BL13" s="40" t="str">
        <f t="shared" si="2"/>
        <v>H</v>
      </c>
      <c r="BM13" s="38" t="str">
        <f t="shared" si="3"/>
        <v>Interest During Construction</v>
      </c>
      <c r="BN13" s="41">
        <f t="shared" si="4"/>
        <v>3203.2699999999995</v>
      </c>
      <c r="BO13" s="41">
        <f>BS114</f>
        <v>7778</v>
      </c>
      <c r="BP13" s="41">
        <f t="shared" si="10"/>
        <v>4574.7300000000005</v>
      </c>
      <c r="BQ13" s="46">
        <f t="shared" si="11"/>
        <v>1.4281437406150594</v>
      </c>
    </row>
    <row r="14" spans="4:69" ht="11.25">
      <c r="D14" s="38" t="s">
        <v>34</v>
      </c>
      <c r="E14" s="49">
        <f>SUM(E6:E13)</f>
        <v>76611.08197400002</v>
      </c>
      <c r="F14" s="49">
        <f>SUM(F6:F13)</f>
        <v>106149.19708999999</v>
      </c>
      <c r="G14" s="49">
        <f>SUM(G6:G13)</f>
        <v>29538.115115999997</v>
      </c>
      <c r="H14" s="43">
        <f t="shared" si="6"/>
        <v>0.3855592997110331</v>
      </c>
      <c r="I14" s="43"/>
      <c r="J14" s="43"/>
      <c r="K14" s="43"/>
      <c r="BC14" s="38" t="str">
        <f t="shared" si="0"/>
        <v>TOTAL</v>
      </c>
      <c r="BD14" s="49">
        <f t="shared" si="1"/>
        <v>76611.08197400002</v>
      </c>
      <c r="BE14" s="49">
        <f>SUM(BE6:BE13)</f>
        <v>78075.5589</v>
      </c>
      <c r="BF14" s="49">
        <f>SUM(BF6:BF13)</f>
        <v>1464.4769259999985</v>
      </c>
      <c r="BG14" s="43">
        <f t="shared" si="9"/>
        <v>0.01911573219259594</v>
      </c>
      <c r="BL14" s="38">
        <f t="shared" si="2"/>
        <v>0</v>
      </c>
      <c r="BM14" s="38" t="str">
        <f t="shared" si="3"/>
        <v>TOTAL</v>
      </c>
      <c r="BN14" s="49">
        <f t="shared" si="4"/>
        <v>76611.08197400002</v>
      </c>
      <c r="BO14" s="49">
        <f>SUM(BO6:BO13)</f>
        <v>96790.266</v>
      </c>
      <c r="BP14" s="49">
        <f>SUM(BP6:BP13)</f>
        <v>20179.184025999995</v>
      </c>
      <c r="BQ14" s="43">
        <f t="shared" si="11"/>
        <v>0.2633977161796035</v>
      </c>
    </row>
    <row r="15" spans="59:69" ht="11.25">
      <c r="BG15" s="40"/>
      <c r="BL15" s="38">
        <f t="shared" si="2"/>
        <v>0</v>
      </c>
      <c r="BM15" s="38">
        <f t="shared" si="3"/>
        <v>0</v>
      </c>
      <c r="BN15" s="38">
        <f t="shared" si="4"/>
        <v>0</v>
      </c>
      <c r="BQ15" s="40"/>
    </row>
    <row r="16" spans="4:69" ht="11.25">
      <c r="D16" s="38" t="s">
        <v>161</v>
      </c>
      <c r="E16" s="395">
        <f>E6+E7+E8+E9</f>
        <v>11857.824948428</v>
      </c>
      <c r="F16" s="395">
        <f>F6+F7+F8+F9</f>
        <v>29932.06895</v>
      </c>
      <c r="G16" s="395">
        <f>F16-E16</f>
        <v>18074.244001572</v>
      </c>
      <c r="H16" s="396">
        <f>IF(E16=0,"'NA'",G16/E16)</f>
        <v>1.5242461480229654</v>
      </c>
      <c r="I16" s="415"/>
      <c r="J16" s="415"/>
      <c r="K16" s="46"/>
      <c r="BB16" s="38">
        <f aca="true" t="shared" si="12" ref="BB16:BD17">C16</f>
        <v>0</v>
      </c>
      <c r="BC16" s="38" t="str">
        <f t="shared" si="12"/>
        <v>Enabling Works Design &amp; Install Subtotal</v>
      </c>
      <c r="BD16" s="41">
        <f t="shared" si="12"/>
        <v>11857.824948428</v>
      </c>
      <c r="BE16" s="41">
        <f>BE6+BE7+BE8+BE9</f>
        <v>15307.77542944</v>
      </c>
      <c r="BF16" s="41">
        <f>BE16-BD16</f>
        <v>3449.9504810119997</v>
      </c>
      <c r="BG16" s="46">
        <f>IF(BD16=0,"'NA'",BF16/BD16)</f>
        <v>0.2909429424044046</v>
      </c>
      <c r="BL16" s="38">
        <f t="shared" si="2"/>
        <v>0</v>
      </c>
      <c r="BM16" s="38" t="str">
        <f t="shared" si="3"/>
        <v>Enabling Works Design &amp; Install Subtotal</v>
      </c>
      <c r="BN16" s="41">
        <f t="shared" si="4"/>
        <v>11857.824948428</v>
      </c>
      <c r="BO16" s="41">
        <f>BO6+BO7+BO8+BO9</f>
        <v>23444.61088</v>
      </c>
      <c r="BP16" s="41">
        <f>BO16-BN16</f>
        <v>11586.785931572</v>
      </c>
      <c r="BQ16" s="46">
        <f>IF(BN16=0,"'NA'",BP16/BN16)</f>
        <v>0.977142602624444</v>
      </c>
    </row>
    <row r="17" spans="4:69" ht="11.25">
      <c r="D17" s="38" t="s">
        <v>160</v>
      </c>
      <c r="E17" s="399">
        <f>E10+E11</f>
        <v>61549.987025572</v>
      </c>
      <c r="F17" s="399">
        <f>F10+F11</f>
        <v>68102.84542</v>
      </c>
      <c r="G17" s="399">
        <f>F17-E17</f>
        <v>6552.858394427996</v>
      </c>
      <c r="H17" s="400">
        <f>IF(E17=0,"'NA'",G17/E17)</f>
        <v>0.10646400935398245</v>
      </c>
      <c r="I17" s="415"/>
      <c r="J17" s="415"/>
      <c r="K17" s="46"/>
      <c r="BB17" s="38">
        <f t="shared" si="12"/>
        <v>0</v>
      </c>
      <c r="BC17" s="38" t="str">
        <f t="shared" si="12"/>
        <v>EW Procure &amp; DB Works Subtotal</v>
      </c>
      <c r="BD17" s="41">
        <f t="shared" si="12"/>
        <v>61549.987025572</v>
      </c>
      <c r="BE17" s="41">
        <f>BE10+BE11</f>
        <v>57828.78347056</v>
      </c>
      <c r="BF17" s="41">
        <f>BE17-BD17</f>
        <v>-3721.203555011998</v>
      </c>
      <c r="BG17" s="46">
        <f>IF(BD17=0,"'NA'",BF17/BD17)</f>
        <v>-0.06045823459663704</v>
      </c>
      <c r="BL17" s="38">
        <f t="shared" si="2"/>
        <v>0</v>
      </c>
      <c r="BM17" s="38" t="str">
        <f t="shared" si="3"/>
        <v>EW Procure &amp; DB Works Subtotal</v>
      </c>
      <c r="BN17" s="41">
        <f t="shared" si="4"/>
        <v>61549.987025572</v>
      </c>
      <c r="BO17" s="41">
        <f>BO10+BO11</f>
        <v>65567.65512</v>
      </c>
      <c r="BP17" s="41">
        <f>BO17-BN17</f>
        <v>4017.668094427994</v>
      </c>
      <c r="BQ17" s="46">
        <f>IF(BN17=0,"'NA'",BP17/BN17)</f>
        <v>0.06527488125641334</v>
      </c>
    </row>
    <row r="18" spans="5:69" ht="11.25">
      <c r="E18" s="41"/>
      <c r="F18" s="41"/>
      <c r="G18" s="41"/>
      <c r="H18" s="46"/>
      <c r="I18" s="46"/>
      <c r="J18" s="46"/>
      <c r="K18" s="46"/>
      <c r="BD18" s="41"/>
      <c r="BE18" s="41"/>
      <c r="BF18" s="41"/>
      <c r="BG18" s="46"/>
      <c r="BN18" s="41"/>
      <c r="BO18" s="41"/>
      <c r="BP18" s="41"/>
      <c r="BQ18" s="46"/>
    </row>
    <row r="19" spans="5:69" ht="11.25">
      <c r="E19" s="41"/>
      <c r="F19" s="41"/>
      <c r="G19" s="41"/>
      <c r="H19" s="46"/>
      <c r="I19" s="46"/>
      <c r="J19" s="46"/>
      <c r="K19" s="46"/>
      <c r="AZ19" s="42" t="s">
        <v>159</v>
      </c>
      <c r="BA19" s="42"/>
      <c r="BB19" s="42"/>
      <c r="BC19" s="42"/>
      <c r="BD19" s="49"/>
      <c r="BE19" s="49">
        <f>BE14+1200+F24</f>
        <v>81558.0749</v>
      </c>
      <c r="BF19" s="49"/>
      <c r="BG19" s="43"/>
      <c r="BH19" s="42"/>
      <c r="BI19" s="42"/>
      <c r="BL19" s="42"/>
      <c r="BM19" s="42"/>
      <c r="BN19" s="49"/>
      <c r="BO19" s="49">
        <f>BO14+1200+2283</f>
        <v>100273.266</v>
      </c>
      <c r="BP19" s="43">
        <f>(19.7+2.3)/(106.1-1.2)</f>
        <v>0.20972354623450906</v>
      </c>
      <c r="BQ19" s="63" t="s">
        <v>158</v>
      </c>
    </row>
    <row r="20" spans="5:32" ht="11.25">
      <c r="E20" s="41"/>
      <c r="F20" s="41"/>
      <c r="G20" s="41"/>
      <c r="H20" s="46"/>
      <c r="I20" s="46"/>
      <c r="J20" s="46"/>
      <c r="K20" s="46"/>
      <c r="O20" s="38" t="s">
        <v>772</v>
      </c>
      <c r="X20" s="38" t="s">
        <v>760</v>
      </c>
      <c r="AF20" s="38" t="s">
        <v>763</v>
      </c>
    </row>
    <row r="21" spans="1:71" ht="11.25">
      <c r="A21" s="30" t="s">
        <v>726</v>
      </c>
      <c r="B21" s="29"/>
      <c r="H21" s="38"/>
      <c r="I21" s="38"/>
      <c r="J21" s="38"/>
      <c r="K21" s="38"/>
      <c r="M21" s="62" t="s">
        <v>759</v>
      </c>
      <c r="N21" s="62"/>
      <c r="O21" s="62"/>
      <c r="P21" s="62"/>
      <c r="Q21" s="62"/>
      <c r="R21" s="62"/>
      <c r="S21" s="62"/>
      <c r="T21" s="62"/>
      <c r="W21" s="62" t="s">
        <v>758</v>
      </c>
      <c r="X21" s="62"/>
      <c r="Y21" s="62"/>
      <c r="Z21" s="62"/>
      <c r="AA21" s="62"/>
      <c r="AB21" s="62"/>
      <c r="AC21" s="62"/>
      <c r="AD21" s="62"/>
      <c r="AE21" s="62"/>
      <c r="AF21" s="62" t="s">
        <v>761</v>
      </c>
      <c r="AG21" s="62"/>
      <c r="AH21" s="62"/>
      <c r="AI21" s="62"/>
      <c r="AJ21" s="62"/>
      <c r="AK21" s="62"/>
      <c r="AL21" s="62"/>
      <c r="AM21" s="62"/>
      <c r="AP21" s="62" t="s">
        <v>762</v>
      </c>
      <c r="AQ21" s="62"/>
      <c r="AR21" s="62"/>
      <c r="AS21" s="62"/>
      <c r="AT21" s="62"/>
      <c r="AU21" s="62"/>
      <c r="AV21" s="62"/>
      <c r="AW21" s="62"/>
      <c r="AX21" s="62"/>
      <c r="AY21" s="62"/>
      <c r="BA21" s="62" t="s">
        <v>157</v>
      </c>
      <c r="BB21" s="62"/>
      <c r="BC21" s="62"/>
      <c r="BD21" s="62"/>
      <c r="BE21" s="62"/>
      <c r="BF21" s="62"/>
      <c r="BG21" s="62"/>
      <c r="BH21" s="62"/>
      <c r="BI21" s="62"/>
      <c r="BJ21" s="62"/>
      <c r="BL21" s="62" t="s">
        <v>156</v>
      </c>
      <c r="BM21" s="62"/>
      <c r="BN21" s="62"/>
      <c r="BO21" s="62"/>
      <c r="BP21" s="62"/>
      <c r="BQ21" s="62"/>
      <c r="BR21" s="62"/>
      <c r="BS21" s="62"/>
    </row>
    <row r="22" spans="1:71" ht="11.25">
      <c r="A22" s="30" t="s">
        <v>755</v>
      </c>
      <c r="B22" s="29"/>
      <c r="M22" s="377" t="s">
        <v>6</v>
      </c>
      <c r="N22" s="377" t="s">
        <v>13</v>
      </c>
      <c r="O22" s="377" t="s">
        <v>17</v>
      </c>
      <c r="P22" s="377" t="s">
        <v>19</v>
      </c>
      <c r="Q22" s="377" t="s">
        <v>24</v>
      </c>
      <c r="R22" s="377" t="s">
        <v>28</v>
      </c>
      <c r="S22" s="377" t="s">
        <v>30</v>
      </c>
      <c r="T22" s="377" t="s">
        <v>32</v>
      </c>
      <c r="W22" s="377" t="s">
        <v>6</v>
      </c>
      <c r="X22" s="377" t="s">
        <v>13</v>
      </c>
      <c r="Y22" s="377" t="s">
        <v>17</v>
      </c>
      <c r="Z22" s="377" t="s">
        <v>19</v>
      </c>
      <c r="AA22" s="377" t="s">
        <v>24</v>
      </c>
      <c r="AB22" s="377" t="s">
        <v>28</v>
      </c>
      <c r="AC22" s="377" t="s">
        <v>30</v>
      </c>
      <c r="AD22" s="377" t="s">
        <v>32</v>
      </c>
      <c r="AE22" s="44"/>
      <c r="AF22" s="378" t="s">
        <v>6</v>
      </c>
      <c r="AG22" s="378" t="s">
        <v>13</v>
      </c>
      <c r="AH22" s="378" t="s">
        <v>17</v>
      </c>
      <c r="AI22" s="378" t="s">
        <v>19</v>
      </c>
      <c r="AJ22" s="378" t="s">
        <v>24</v>
      </c>
      <c r="AK22" s="378" t="s">
        <v>28</v>
      </c>
      <c r="AL22" s="378" t="s">
        <v>30</v>
      </c>
      <c r="AM22" s="378" t="s">
        <v>32</v>
      </c>
      <c r="AP22" s="378" t="s">
        <v>6</v>
      </c>
      <c r="AQ22" s="378" t="s">
        <v>13</v>
      </c>
      <c r="AR22" s="378" t="s">
        <v>17</v>
      </c>
      <c r="AS22" s="378" t="s">
        <v>19</v>
      </c>
      <c r="AT22" s="378" t="s">
        <v>24</v>
      </c>
      <c r="AU22" s="378" t="s">
        <v>28</v>
      </c>
      <c r="AV22" s="378" t="s">
        <v>30</v>
      </c>
      <c r="AW22" s="378" t="s">
        <v>32</v>
      </c>
      <c r="AX22" s="44"/>
      <c r="AY22" s="44"/>
      <c r="BA22" s="378" t="s">
        <v>6</v>
      </c>
      <c r="BB22" s="378" t="s">
        <v>13</v>
      </c>
      <c r="BC22" s="378" t="s">
        <v>17</v>
      </c>
      <c r="BD22" s="378" t="s">
        <v>19</v>
      </c>
      <c r="BE22" s="378" t="s">
        <v>24</v>
      </c>
      <c r="BF22" s="378" t="s">
        <v>28</v>
      </c>
      <c r="BG22" s="378" t="s">
        <v>30</v>
      </c>
      <c r="BH22" s="378" t="s">
        <v>32</v>
      </c>
      <c r="BI22" s="44"/>
      <c r="BJ22" s="44"/>
      <c r="BL22" s="378" t="s">
        <v>6</v>
      </c>
      <c r="BM22" s="378" t="s">
        <v>13</v>
      </c>
      <c r="BN22" s="378" t="s">
        <v>17</v>
      </c>
      <c r="BO22" s="378" t="s">
        <v>19</v>
      </c>
      <c r="BP22" s="378" t="s">
        <v>24</v>
      </c>
      <c r="BQ22" s="378" t="s">
        <v>28</v>
      </c>
      <c r="BR22" s="378" t="s">
        <v>30</v>
      </c>
      <c r="BS22" s="378" t="s">
        <v>32</v>
      </c>
    </row>
    <row r="23" spans="2:71" s="42" customFormat="1" ht="79.5" customHeight="1">
      <c r="B23" s="402" t="s">
        <v>155</v>
      </c>
      <c r="C23" s="402" t="s">
        <v>154</v>
      </c>
      <c r="D23" s="402" t="s">
        <v>153</v>
      </c>
      <c r="E23" s="379" t="s">
        <v>743</v>
      </c>
      <c r="F23" s="379" t="s">
        <v>2</v>
      </c>
      <c r="G23" s="393" t="s">
        <v>152</v>
      </c>
      <c r="H23" s="394" t="s">
        <v>151</v>
      </c>
      <c r="I23" s="414"/>
      <c r="J23" s="414"/>
      <c r="K23" s="45"/>
      <c r="L23" s="392" t="s">
        <v>150</v>
      </c>
      <c r="M23" s="379" t="s">
        <v>7</v>
      </c>
      <c r="N23" s="379" t="s">
        <v>14</v>
      </c>
      <c r="O23" s="379" t="s">
        <v>18</v>
      </c>
      <c r="P23" s="379" t="s">
        <v>20</v>
      </c>
      <c r="Q23" s="379" t="s">
        <v>25</v>
      </c>
      <c r="R23" s="379" t="s">
        <v>29</v>
      </c>
      <c r="S23" s="379" t="s">
        <v>31</v>
      </c>
      <c r="T23" s="379" t="s">
        <v>33</v>
      </c>
      <c r="U23" s="423" t="s">
        <v>48</v>
      </c>
      <c r="V23" s="61"/>
      <c r="W23" s="379" t="str">
        <f>$M23</f>
        <v>Enabling Works Civil General</v>
      </c>
      <c r="X23" s="379" t="str">
        <f>$N23</f>
        <v>Transmission Line Deviations</v>
      </c>
      <c r="Y23" s="379" t="str">
        <f>$O23</f>
        <v>Enabling Works Secondary Equipment Design &amp; Install</v>
      </c>
      <c r="Z23" s="379" t="str">
        <f>$P23</f>
        <v>EW Transition Station &amp; Cable Termination Design &amp; Install</v>
      </c>
      <c r="AA23" s="379" t="str">
        <f>$Q23</f>
        <v>Enabling Works Procurement</v>
      </c>
      <c r="AB23" s="379" t="str">
        <f>$R23</f>
        <v>Design Build  GIS/AIS &amp; EHV Cable</v>
      </c>
      <c r="AC23" s="379" t="str">
        <f>$S23</f>
        <v>Land Easement</v>
      </c>
      <c r="AD23" s="379" t="str">
        <f>$T23</f>
        <v>Interest During Construction</v>
      </c>
      <c r="AE23" s="61"/>
      <c r="AF23" s="379" t="str">
        <f aca="true" t="shared" si="13" ref="AF23:AM23">M23</f>
        <v>Enabling Works Civil General</v>
      </c>
      <c r="AG23" s="379" t="str">
        <f t="shared" si="13"/>
        <v>Transmission Line Deviations</v>
      </c>
      <c r="AH23" s="379" t="str">
        <f t="shared" si="13"/>
        <v>Enabling Works Secondary Equipment Design &amp; Install</v>
      </c>
      <c r="AI23" s="379" t="str">
        <f t="shared" si="13"/>
        <v>EW Transition Station &amp; Cable Termination Design &amp; Install</v>
      </c>
      <c r="AJ23" s="379" t="str">
        <f t="shared" si="13"/>
        <v>Enabling Works Procurement</v>
      </c>
      <c r="AK23" s="379" t="str">
        <f t="shared" si="13"/>
        <v>Design Build  GIS/AIS &amp; EHV Cable</v>
      </c>
      <c r="AL23" s="379" t="str">
        <f t="shared" si="13"/>
        <v>Land Easement</v>
      </c>
      <c r="AM23" s="379" t="str">
        <f t="shared" si="13"/>
        <v>Interest During Construction</v>
      </c>
      <c r="AN23" s="423" t="s">
        <v>48</v>
      </c>
      <c r="AP23" s="379" t="str">
        <f aca="true" t="shared" si="14" ref="AP23:AW23">M23</f>
        <v>Enabling Works Civil General</v>
      </c>
      <c r="AQ23" s="379" t="str">
        <f t="shared" si="14"/>
        <v>Transmission Line Deviations</v>
      </c>
      <c r="AR23" s="379" t="str">
        <f t="shared" si="14"/>
        <v>Enabling Works Secondary Equipment Design &amp; Install</v>
      </c>
      <c r="AS23" s="379" t="str">
        <f t="shared" si="14"/>
        <v>EW Transition Station &amp; Cable Termination Design &amp; Install</v>
      </c>
      <c r="AT23" s="379" t="str">
        <f t="shared" si="14"/>
        <v>Enabling Works Procurement</v>
      </c>
      <c r="AU23" s="379" t="str">
        <f t="shared" si="14"/>
        <v>Design Build  GIS/AIS &amp; EHV Cable</v>
      </c>
      <c r="AV23" s="379" t="str">
        <f t="shared" si="14"/>
        <v>Land Easement</v>
      </c>
      <c r="AW23" s="379" t="str">
        <f t="shared" si="14"/>
        <v>Interest During Construction</v>
      </c>
      <c r="AX23" s="61"/>
      <c r="AY23" s="379" t="s">
        <v>61</v>
      </c>
      <c r="AZ23" s="379" t="s">
        <v>756</v>
      </c>
      <c r="BA23" s="379" t="str">
        <f>$M23</f>
        <v>Enabling Works Civil General</v>
      </c>
      <c r="BB23" s="379" t="str">
        <f>$N23</f>
        <v>Transmission Line Deviations</v>
      </c>
      <c r="BC23" s="379" t="str">
        <f>$O23</f>
        <v>Enabling Works Secondary Equipment Design &amp; Install</v>
      </c>
      <c r="BD23" s="379" t="str">
        <f>$P23</f>
        <v>EW Transition Station &amp; Cable Termination Design &amp; Install</v>
      </c>
      <c r="BE23" s="379" t="str">
        <f>$Q23</f>
        <v>Enabling Works Procurement</v>
      </c>
      <c r="BF23" s="379" t="str">
        <f>$R23</f>
        <v>Design Build  GIS/AIS &amp; EHV Cable</v>
      </c>
      <c r="BG23" s="379" t="str">
        <f>$S23</f>
        <v>Land Easement</v>
      </c>
      <c r="BH23" s="379" t="str">
        <f>$T23</f>
        <v>Interest During Construction</v>
      </c>
      <c r="BI23" s="61"/>
      <c r="BJ23" s="379" t="s">
        <v>61</v>
      </c>
      <c r="BK23" s="379" t="s">
        <v>757</v>
      </c>
      <c r="BL23" s="379" t="str">
        <f>$M23</f>
        <v>Enabling Works Civil General</v>
      </c>
      <c r="BM23" s="379" t="str">
        <f>$N23</f>
        <v>Transmission Line Deviations</v>
      </c>
      <c r="BN23" s="379" t="str">
        <f>$O23</f>
        <v>Enabling Works Secondary Equipment Design &amp; Install</v>
      </c>
      <c r="BO23" s="379" t="str">
        <f>$P23</f>
        <v>EW Transition Station &amp; Cable Termination Design &amp; Install</v>
      </c>
      <c r="BP23" s="379" t="str">
        <f>$Q23</f>
        <v>Enabling Works Procurement</v>
      </c>
      <c r="BQ23" s="379" t="str">
        <f>$R23</f>
        <v>Design Build  GIS/AIS &amp; EHV Cable</v>
      </c>
      <c r="BR23" s="379" t="str">
        <f>$S23</f>
        <v>Land Easement</v>
      </c>
      <c r="BS23" s="379" t="str">
        <f>$T23</f>
        <v>Interest During Construction</v>
      </c>
    </row>
    <row r="24" spans="1:71" ht="11.25">
      <c r="A24" s="60" t="e">
        <f>#REF!</f>
        <v>#REF!</v>
      </c>
      <c r="B24" s="403" t="s">
        <v>251</v>
      </c>
      <c r="C24" s="404" t="s">
        <v>250</v>
      </c>
      <c r="D24" s="380" t="s">
        <v>249</v>
      </c>
      <c r="E24" s="381">
        <f>IF(ISERROR(VLOOKUP(C24,'CA Level'!$B$7:$D$86,3,FALSE)),0,VLOOKUP(C24,'CA Level'!$B$7:$D$86,3,FALSE))</f>
        <v>0</v>
      </c>
      <c r="F24" s="381">
        <v>2282.516</v>
      </c>
      <c r="G24" s="395">
        <f aca="true" t="shared" si="15" ref="G24:G49">F24-E24</f>
        <v>2282.516</v>
      </c>
      <c r="H24" s="396" t="str">
        <f aca="true" t="shared" si="16" ref="H24:H49">IF(E24=0,"'NA'",G24/E24)</f>
        <v>'NA'</v>
      </c>
      <c r="I24" s="417"/>
      <c r="J24" s="415"/>
      <c r="K24" s="46"/>
      <c r="L24" s="386"/>
      <c r="M24" s="387">
        <v>0.05</v>
      </c>
      <c r="N24" s="387">
        <v>0.05</v>
      </c>
      <c r="O24" s="387">
        <v>0.12</v>
      </c>
      <c r="P24" s="387">
        <v>0.05</v>
      </c>
      <c r="Q24" s="387">
        <v>0.03</v>
      </c>
      <c r="R24" s="387">
        <v>0.7</v>
      </c>
      <c r="S24" s="387">
        <v>0</v>
      </c>
      <c r="T24" s="387">
        <v>0</v>
      </c>
      <c r="U24" s="39">
        <f aca="true" t="shared" si="17" ref="U24:U55">SUM(M24:T24)-1</f>
        <v>0</v>
      </c>
      <c r="W24" s="381">
        <f aca="true" t="shared" si="18" ref="W24:W55">$E24*M24</f>
        <v>0</v>
      </c>
      <c r="X24" s="381">
        <f aca="true" t="shared" si="19" ref="X24:X55">$E24*N24</f>
        <v>0</v>
      </c>
      <c r="Y24" s="381">
        <f aca="true" t="shared" si="20" ref="Y24:Y55">$E24*O24</f>
        <v>0</v>
      </c>
      <c r="Z24" s="381">
        <f aca="true" t="shared" si="21" ref="Z24:Z55">$E24*P24</f>
        <v>0</v>
      </c>
      <c r="AA24" s="381">
        <f aca="true" t="shared" si="22" ref="AA24:AA55">$E24*Q24</f>
        <v>0</v>
      </c>
      <c r="AB24" s="381">
        <f aca="true" t="shared" si="23" ref="AB24:AB55">$E24*R24</f>
        <v>0</v>
      </c>
      <c r="AC24" s="381">
        <f aca="true" t="shared" si="24" ref="AC24:AC55">$E24*S24</f>
        <v>0</v>
      </c>
      <c r="AD24" s="381">
        <f aca="true" t="shared" si="25" ref="AD24:AD55">$E24*T24</f>
        <v>0</v>
      </c>
      <c r="AE24" s="58"/>
      <c r="AF24" s="381"/>
      <c r="AG24" s="381"/>
      <c r="AH24" s="381"/>
      <c r="AI24" s="381"/>
      <c r="AJ24" s="381"/>
      <c r="AK24" s="381"/>
      <c r="AL24" s="381"/>
      <c r="AM24" s="381"/>
      <c r="AP24" s="381">
        <f>$F24*M24</f>
        <v>114.12580000000001</v>
      </c>
      <c r="AQ24" s="381">
        <f>$F24*N24</f>
        <v>114.12580000000001</v>
      </c>
      <c r="AR24" s="381">
        <f aca="true" t="shared" si="26" ref="AR24:AW24">$F24*O24</f>
        <v>273.90192</v>
      </c>
      <c r="AS24" s="381">
        <f t="shared" si="26"/>
        <v>114.12580000000001</v>
      </c>
      <c r="AT24" s="381">
        <f t="shared" si="26"/>
        <v>68.47548</v>
      </c>
      <c r="AU24" s="381">
        <f t="shared" si="26"/>
        <v>1597.7612</v>
      </c>
      <c r="AV24" s="381">
        <f t="shared" si="26"/>
        <v>0</v>
      </c>
      <c r="AW24" s="381">
        <f t="shared" si="26"/>
        <v>0</v>
      </c>
      <c r="AX24" s="58"/>
      <c r="AY24" s="381"/>
      <c r="AZ24" s="381"/>
      <c r="BA24" s="381">
        <f aca="true" t="shared" si="27" ref="BA24:BH24">$AZ24*M24</f>
        <v>0</v>
      </c>
      <c r="BB24" s="381">
        <f t="shared" si="27"/>
        <v>0</v>
      </c>
      <c r="BC24" s="381">
        <f t="shared" si="27"/>
        <v>0</v>
      </c>
      <c r="BD24" s="381">
        <f t="shared" si="27"/>
        <v>0</v>
      </c>
      <c r="BE24" s="381">
        <f t="shared" si="27"/>
        <v>0</v>
      </c>
      <c r="BF24" s="381">
        <f t="shared" si="27"/>
        <v>0</v>
      </c>
      <c r="BG24" s="381">
        <f t="shared" si="27"/>
        <v>0</v>
      </c>
      <c r="BH24" s="381">
        <f t="shared" si="27"/>
        <v>0</v>
      </c>
      <c r="BJ24" s="380"/>
      <c r="BK24" s="380"/>
      <c r="BL24" s="381">
        <f aca="true" t="shared" si="28" ref="BL24:BS24">$BK24*M24</f>
        <v>0</v>
      </c>
      <c r="BM24" s="381">
        <f t="shared" si="28"/>
        <v>0</v>
      </c>
      <c r="BN24" s="381">
        <f t="shared" si="28"/>
        <v>0</v>
      </c>
      <c r="BO24" s="381">
        <f t="shared" si="28"/>
        <v>0</v>
      </c>
      <c r="BP24" s="381">
        <f t="shared" si="28"/>
        <v>0</v>
      </c>
      <c r="BQ24" s="381">
        <f t="shared" si="28"/>
        <v>0</v>
      </c>
      <c r="BR24" s="381">
        <f t="shared" si="28"/>
        <v>0</v>
      </c>
      <c r="BS24" s="381">
        <f t="shared" si="28"/>
        <v>0</v>
      </c>
    </row>
    <row r="25" spans="1:71" ht="11.25">
      <c r="A25" s="60" t="e">
        <f>#REF!</f>
        <v>#REF!</v>
      </c>
      <c r="B25" s="405" t="s">
        <v>174</v>
      </c>
      <c r="C25" s="406" t="s">
        <v>149</v>
      </c>
      <c r="D25" s="382" t="s">
        <v>173</v>
      </c>
      <c r="E25" s="383">
        <f>IF(ISERROR(VLOOKUP(C25,'CA Level'!$B$7:$D$86,3,FALSE)),0,VLOOKUP(C25,'CA Level'!$B$7:$D$86,3,FALSE))</f>
        <v>3381.661</v>
      </c>
      <c r="F25" s="383">
        <v>2251.8094300000002</v>
      </c>
      <c r="G25" s="397">
        <f t="shared" si="15"/>
        <v>-1129.8515699999998</v>
      </c>
      <c r="H25" s="398">
        <f t="shared" si="16"/>
        <v>-0.33411142335083255</v>
      </c>
      <c r="I25" s="417"/>
      <c r="J25" s="415"/>
      <c r="K25" s="46"/>
      <c r="L25" s="386"/>
      <c r="M25" s="387">
        <v>0.046</v>
      </c>
      <c r="N25" s="387">
        <v>0.022</v>
      </c>
      <c r="O25" s="387">
        <v>0.051</v>
      </c>
      <c r="P25" s="387">
        <v>0.083</v>
      </c>
      <c r="Q25" s="387">
        <v>0.008</v>
      </c>
      <c r="R25" s="387">
        <v>0.79</v>
      </c>
      <c r="S25" s="387">
        <v>0</v>
      </c>
      <c r="T25" s="387">
        <v>0</v>
      </c>
      <c r="U25" s="39">
        <f t="shared" si="17"/>
        <v>0</v>
      </c>
      <c r="W25" s="383">
        <f t="shared" si="18"/>
        <v>155.556406</v>
      </c>
      <c r="X25" s="383">
        <f t="shared" si="19"/>
        <v>74.396542</v>
      </c>
      <c r="Y25" s="383">
        <f>$E25*O25</f>
        <v>172.464711</v>
      </c>
      <c r="Z25" s="383">
        <f t="shared" si="21"/>
        <v>280.677863</v>
      </c>
      <c r="AA25" s="383">
        <f t="shared" si="22"/>
        <v>27.053288000000002</v>
      </c>
      <c r="AB25" s="383">
        <f t="shared" si="23"/>
        <v>2671.5121900000004</v>
      </c>
      <c r="AC25" s="383">
        <f t="shared" si="24"/>
        <v>0</v>
      </c>
      <c r="AD25" s="383">
        <f t="shared" si="25"/>
        <v>0</v>
      </c>
      <c r="AE25" s="58"/>
      <c r="AF25" s="387">
        <v>0.12</v>
      </c>
      <c r="AG25" s="387">
        <v>0.05</v>
      </c>
      <c r="AH25" s="387">
        <v>0.15</v>
      </c>
      <c r="AI25" s="387">
        <v>0.14</v>
      </c>
      <c r="AJ25" s="387">
        <v>0.01</v>
      </c>
      <c r="AK25" s="387">
        <v>0.53</v>
      </c>
      <c r="AL25" s="387">
        <v>0</v>
      </c>
      <c r="AM25" s="387">
        <v>0</v>
      </c>
      <c r="AN25" s="39">
        <f aca="true" t="shared" si="29" ref="AN25:AN34">SUM(AF25:AM25)-1</f>
        <v>0</v>
      </c>
      <c r="AP25" s="383">
        <f>$F25*AF25</f>
        <v>270.2171316</v>
      </c>
      <c r="AQ25" s="383">
        <f>$F25*AG25</f>
        <v>112.59047150000002</v>
      </c>
      <c r="AR25" s="383">
        <f aca="true" t="shared" si="30" ref="AR25:AR34">$F25*AH25</f>
        <v>337.77141450000005</v>
      </c>
      <c r="AS25" s="383">
        <f aca="true" t="shared" si="31" ref="AS25:AS34">$F25*AI25</f>
        <v>315.2533202000001</v>
      </c>
      <c r="AT25" s="383">
        <f aca="true" t="shared" si="32" ref="AT25:AT34">$F25*AJ25</f>
        <v>22.5180943</v>
      </c>
      <c r="AU25" s="383">
        <f aca="true" t="shared" si="33" ref="AU25:AU34">$F25*AK25</f>
        <v>1193.4589979000002</v>
      </c>
      <c r="AV25" s="383">
        <f aca="true" t="shared" si="34" ref="AV25:AV34">$F25*AL25</f>
        <v>0</v>
      </c>
      <c r="AW25" s="383">
        <f aca="true" t="shared" si="35" ref="AW25:AW34">$F25*AM25</f>
        <v>0</v>
      </c>
      <c r="AX25" s="58"/>
      <c r="AY25" s="383" t="s">
        <v>149</v>
      </c>
      <c r="AZ25" s="383">
        <v>1632</v>
      </c>
      <c r="BA25" s="383">
        <f aca="true" t="shared" si="36" ref="BA25:BA34">$AZ25*AF25</f>
        <v>195.84</v>
      </c>
      <c r="BB25" s="383">
        <f aca="true" t="shared" si="37" ref="BB25:BB34">$AZ25*AG25</f>
        <v>81.60000000000001</v>
      </c>
      <c r="BC25" s="383">
        <f aca="true" t="shared" si="38" ref="BC25:BC34">$AZ25*AH25</f>
        <v>244.79999999999998</v>
      </c>
      <c r="BD25" s="383">
        <f aca="true" t="shared" si="39" ref="BD25:BD34">$AZ25*AI25</f>
        <v>228.48000000000002</v>
      </c>
      <c r="BE25" s="383">
        <f aca="true" t="shared" si="40" ref="BE25:BE34">$AZ25*AJ25</f>
        <v>16.32</v>
      </c>
      <c r="BF25" s="383">
        <f aca="true" t="shared" si="41" ref="BF25:BF34">$AZ25*AK25</f>
        <v>864.96</v>
      </c>
      <c r="BG25" s="383">
        <f aca="true" t="shared" si="42" ref="BG25:BG34">$AZ25*AL25</f>
        <v>0</v>
      </c>
      <c r="BH25" s="383">
        <f aca="true" t="shared" si="43" ref="BH25:BH34">$AZ25*AM25</f>
        <v>0</v>
      </c>
      <c r="BJ25" s="382" t="s">
        <v>149</v>
      </c>
      <c r="BK25" s="383">
        <v>1709</v>
      </c>
      <c r="BL25" s="383">
        <f aca="true" t="shared" si="44" ref="BL25:BL34">$BK25*AF25</f>
        <v>205.07999999999998</v>
      </c>
      <c r="BM25" s="383">
        <f aca="true" t="shared" si="45" ref="BM25:BM34">$BK25*AG25</f>
        <v>85.45</v>
      </c>
      <c r="BN25" s="383">
        <f aca="true" t="shared" si="46" ref="BN25:BN34">$BK25*AH25</f>
        <v>256.34999999999997</v>
      </c>
      <c r="BO25" s="383">
        <f aca="true" t="shared" si="47" ref="BO25:BO34">$BK25*AI25</f>
        <v>239.26000000000002</v>
      </c>
      <c r="BP25" s="383">
        <f aca="true" t="shared" si="48" ref="BP25:BP34">$BK25*AJ25</f>
        <v>17.09</v>
      </c>
      <c r="BQ25" s="383">
        <f aca="true" t="shared" si="49" ref="BQ25:BQ34">$BK25*AK25</f>
        <v>905.7700000000001</v>
      </c>
      <c r="BR25" s="383">
        <f aca="true" t="shared" si="50" ref="BR25:BR34">$BK25*AL25</f>
        <v>0</v>
      </c>
      <c r="BS25" s="383">
        <f aca="true" t="shared" si="51" ref="BS25:BS34">$BK25*AM25</f>
        <v>0</v>
      </c>
    </row>
    <row r="26" spans="1:71" ht="11.25">
      <c r="A26" s="60"/>
      <c r="B26" s="405"/>
      <c r="C26" s="406" t="s">
        <v>148</v>
      </c>
      <c r="D26" s="382" t="s">
        <v>172</v>
      </c>
      <c r="E26" s="383">
        <f>IF(ISERROR(VLOOKUP(C26,'CA Level'!$B$7:$D$86,3,FALSE)),0,VLOOKUP(C26,'CA Level'!$B$7:$D$86,3,FALSE))</f>
        <v>354.88406399999997</v>
      </c>
      <c r="F26" s="383">
        <v>718.5089</v>
      </c>
      <c r="G26" s="397">
        <f t="shared" si="15"/>
        <v>363.6248360000001</v>
      </c>
      <c r="H26" s="398">
        <f t="shared" si="16"/>
        <v>1.0246299366093827</v>
      </c>
      <c r="I26" s="417"/>
      <c r="J26" s="415"/>
      <c r="K26" s="46"/>
      <c r="L26" s="386"/>
      <c r="M26" s="387">
        <v>0.046</v>
      </c>
      <c r="N26" s="387">
        <v>0.022</v>
      </c>
      <c r="O26" s="387">
        <v>0.051</v>
      </c>
      <c r="P26" s="387">
        <v>0.083</v>
      </c>
      <c r="Q26" s="387">
        <v>0.008</v>
      </c>
      <c r="R26" s="387">
        <v>0.79</v>
      </c>
      <c r="S26" s="387">
        <v>0</v>
      </c>
      <c r="T26" s="387">
        <v>0</v>
      </c>
      <c r="U26" s="39">
        <f t="shared" si="17"/>
        <v>0</v>
      </c>
      <c r="W26" s="383">
        <f t="shared" si="18"/>
        <v>16.324666943999997</v>
      </c>
      <c r="X26" s="383">
        <f t="shared" si="19"/>
        <v>7.807449407999999</v>
      </c>
      <c r="Y26" s="383">
        <f t="shared" si="20"/>
        <v>18.099087263999998</v>
      </c>
      <c r="Z26" s="383">
        <f t="shared" si="21"/>
        <v>29.455377312</v>
      </c>
      <c r="AA26" s="383">
        <f t="shared" si="22"/>
        <v>2.839072512</v>
      </c>
      <c r="AB26" s="383">
        <f t="shared" si="23"/>
        <v>280.35841056</v>
      </c>
      <c r="AC26" s="383">
        <f t="shared" si="24"/>
        <v>0</v>
      </c>
      <c r="AD26" s="383">
        <f t="shared" si="25"/>
        <v>0</v>
      </c>
      <c r="AE26" s="58"/>
      <c r="AF26" s="387">
        <v>0.12</v>
      </c>
      <c r="AG26" s="387">
        <v>0.05</v>
      </c>
      <c r="AH26" s="387">
        <v>0.15</v>
      </c>
      <c r="AI26" s="387">
        <v>0.14</v>
      </c>
      <c r="AJ26" s="387">
        <v>0.01</v>
      </c>
      <c r="AK26" s="387">
        <v>0.53</v>
      </c>
      <c r="AL26" s="387">
        <v>0</v>
      </c>
      <c r="AM26" s="387">
        <v>0</v>
      </c>
      <c r="AN26" s="39">
        <f t="shared" si="29"/>
        <v>0</v>
      </c>
      <c r="AP26" s="383">
        <f aca="true" t="shared" si="52" ref="AP26:AP34">$F26*AF26</f>
        <v>86.221068</v>
      </c>
      <c r="AQ26" s="383">
        <f aca="true" t="shared" si="53" ref="AQ26:AQ34">$F26*AG26</f>
        <v>35.925445</v>
      </c>
      <c r="AR26" s="383">
        <f t="shared" si="30"/>
        <v>107.776335</v>
      </c>
      <c r="AS26" s="383">
        <f t="shared" si="31"/>
        <v>100.59124600000001</v>
      </c>
      <c r="AT26" s="383">
        <f t="shared" si="32"/>
        <v>7.1850890000000005</v>
      </c>
      <c r="AU26" s="383">
        <f t="shared" si="33"/>
        <v>380.80971700000003</v>
      </c>
      <c r="AV26" s="383">
        <f t="shared" si="34"/>
        <v>0</v>
      </c>
      <c r="AW26" s="383">
        <f t="shared" si="35"/>
        <v>0</v>
      </c>
      <c r="AX26" s="58"/>
      <c r="AY26" s="383" t="s">
        <v>148</v>
      </c>
      <c r="AZ26" s="383">
        <v>354.88406399999997</v>
      </c>
      <c r="BA26" s="383">
        <f t="shared" si="36"/>
        <v>42.58608767999999</v>
      </c>
      <c r="BB26" s="383">
        <f t="shared" si="37"/>
        <v>17.744203199999998</v>
      </c>
      <c r="BC26" s="383">
        <f t="shared" si="38"/>
        <v>53.232609599999996</v>
      </c>
      <c r="BD26" s="383">
        <f t="shared" si="39"/>
        <v>49.68376896</v>
      </c>
      <c r="BE26" s="383">
        <f t="shared" si="40"/>
        <v>3.54884064</v>
      </c>
      <c r="BF26" s="383">
        <f t="shared" si="41"/>
        <v>188.08855391999998</v>
      </c>
      <c r="BG26" s="383">
        <f t="shared" si="42"/>
        <v>0</v>
      </c>
      <c r="BH26" s="383">
        <f t="shared" si="43"/>
        <v>0</v>
      </c>
      <c r="BJ26" s="382" t="s">
        <v>148</v>
      </c>
      <c r="BK26" s="383">
        <v>442.27200000000005</v>
      </c>
      <c r="BL26" s="383">
        <f t="shared" si="44"/>
        <v>53.07264000000001</v>
      </c>
      <c r="BM26" s="383">
        <f t="shared" si="45"/>
        <v>22.113600000000005</v>
      </c>
      <c r="BN26" s="383">
        <f t="shared" si="46"/>
        <v>66.3408</v>
      </c>
      <c r="BO26" s="383">
        <f t="shared" si="47"/>
        <v>61.91808000000001</v>
      </c>
      <c r="BP26" s="383">
        <f t="shared" si="48"/>
        <v>4.422720000000001</v>
      </c>
      <c r="BQ26" s="383">
        <f t="shared" si="49"/>
        <v>234.40416000000005</v>
      </c>
      <c r="BR26" s="383">
        <f t="shared" si="50"/>
        <v>0</v>
      </c>
      <c r="BS26" s="383">
        <f t="shared" si="51"/>
        <v>0</v>
      </c>
    </row>
    <row r="27" spans="1:71" ht="11.25">
      <c r="A27" s="60"/>
      <c r="B27" s="405"/>
      <c r="C27" s="406" t="s">
        <v>147</v>
      </c>
      <c r="D27" s="382" t="s">
        <v>171</v>
      </c>
      <c r="E27" s="383">
        <f>IF(ISERROR(VLOOKUP(C27,'CA Level'!$B$7:$D$86,3,FALSE)),0,VLOOKUP(C27,'CA Level'!$B$7:$D$86,3,FALSE))</f>
        <v>287.55445000000003</v>
      </c>
      <c r="F27" s="383">
        <v>1827</v>
      </c>
      <c r="G27" s="397">
        <f t="shared" si="15"/>
        <v>1539.44555</v>
      </c>
      <c r="H27" s="398">
        <f t="shared" si="16"/>
        <v>5.3535792960255</v>
      </c>
      <c r="I27" s="417"/>
      <c r="J27" s="415"/>
      <c r="K27" s="46"/>
      <c r="L27" s="386"/>
      <c r="M27" s="387">
        <v>0.046</v>
      </c>
      <c r="N27" s="387">
        <v>0.022</v>
      </c>
      <c r="O27" s="387">
        <v>0.051</v>
      </c>
      <c r="P27" s="387">
        <v>0.083</v>
      </c>
      <c r="Q27" s="387">
        <v>0.008</v>
      </c>
      <c r="R27" s="387">
        <v>0.79</v>
      </c>
      <c r="S27" s="387">
        <v>0</v>
      </c>
      <c r="T27" s="387">
        <v>0</v>
      </c>
      <c r="U27" s="39">
        <f t="shared" si="17"/>
        <v>0</v>
      </c>
      <c r="W27" s="383">
        <f t="shared" si="18"/>
        <v>13.2275047</v>
      </c>
      <c r="X27" s="383">
        <f t="shared" si="19"/>
        <v>6.3261979</v>
      </c>
      <c r="Y27" s="383">
        <f t="shared" si="20"/>
        <v>14.66527695</v>
      </c>
      <c r="Z27" s="383">
        <f t="shared" si="21"/>
        <v>23.867019350000003</v>
      </c>
      <c r="AA27" s="383">
        <f t="shared" si="22"/>
        <v>2.3004356</v>
      </c>
      <c r="AB27" s="383">
        <f t="shared" si="23"/>
        <v>227.16801550000002</v>
      </c>
      <c r="AC27" s="383">
        <f t="shared" si="24"/>
        <v>0</v>
      </c>
      <c r="AD27" s="383">
        <f t="shared" si="25"/>
        <v>0</v>
      </c>
      <c r="AE27" s="58"/>
      <c r="AF27" s="387">
        <v>0.12</v>
      </c>
      <c r="AG27" s="387">
        <v>0.05</v>
      </c>
      <c r="AH27" s="387">
        <v>0.15</v>
      </c>
      <c r="AI27" s="387">
        <v>0.14</v>
      </c>
      <c r="AJ27" s="387">
        <v>0.01</v>
      </c>
      <c r="AK27" s="387">
        <v>0.53</v>
      </c>
      <c r="AL27" s="387">
        <v>0</v>
      </c>
      <c r="AM27" s="387">
        <v>0</v>
      </c>
      <c r="AN27" s="39">
        <f t="shared" si="29"/>
        <v>0</v>
      </c>
      <c r="AP27" s="383">
        <f>$F27*AF27</f>
        <v>219.23999999999998</v>
      </c>
      <c r="AQ27" s="383">
        <f>$F27*AG27</f>
        <v>91.35000000000001</v>
      </c>
      <c r="AR27" s="383">
        <f t="shared" si="30"/>
        <v>274.05</v>
      </c>
      <c r="AS27" s="383">
        <f t="shared" si="31"/>
        <v>255.78000000000003</v>
      </c>
      <c r="AT27" s="383">
        <f t="shared" si="32"/>
        <v>18.27</v>
      </c>
      <c r="AU27" s="383">
        <f t="shared" si="33"/>
        <v>968.3100000000001</v>
      </c>
      <c r="AV27" s="383">
        <f t="shared" si="34"/>
        <v>0</v>
      </c>
      <c r="AW27" s="383">
        <f t="shared" si="35"/>
        <v>0</v>
      </c>
      <c r="AX27" s="58"/>
      <c r="AY27" s="383" t="s">
        <v>147</v>
      </c>
      <c r="AZ27" s="383">
        <v>436.96</v>
      </c>
      <c r="BA27" s="383">
        <f t="shared" si="36"/>
        <v>52.435199999999995</v>
      </c>
      <c r="BB27" s="383">
        <f t="shared" si="37"/>
        <v>21.848</v>
      </c>
      <c r="BC27" s="383">
        <f t="shared" si="38"/>
        <v>65.544</v>
      </c>
      <c r="BD27" s="383">
        <f t="shared" si="39"/>
        <v>61.174400000000006</v>
      </c>
      <c r="BE27" s="383">
        <f t="shared" si="40"/>
        <v>4.3696</v>
      </c>
      <c r="BF27" s="383">
        <f t="shared" si="41"/>
        <v>231.5888</v>
      </c>
      <c r="BG27" s="383">
        <f t="shared" si="42"/>
        <v>0</v>
      </c>
      <c r="BH27" s="383">
        <f t="shared" si="43"/>
        <v>0</v>
      </c>
      <c r="BJ27" s="382" t="s">
        <v>147</v>
      </c>
      <c r="BK27" s="383">
        <v>1010.327</v>
      </c>
      <c r="BL27" s="383">
        <f t="shared" si="44"/>
        <v>121.23924</v>
      </c>
      <c r="BM27" s="383">
        <f t="shared" si="45"/>
        <v>50.51635</v>
      </c>
      <c r="BN27" s="383">
        <f t="shared" si="46"/>
        <v>151.54905</v>
      </c>
      <c r="BO27" s="383">
        <f t="shared" si="47"/>
        <v>141.44578</v>
      </c>
      <c r="BP27" s="383">
        <f t="shared" si="48"/>
        <v>10.10327</v>
      </c>
      <c r="BQ27" s="383">
        <f t="shared" si="49"/>
        <v>535.47331</v>
      </c>
      <c r="BR27" s="383">
        <f t="shared" si="50"/>
        <v>0</v>
      </c>
      <c r="BS27" s="383">
        <f t="shared" si="51"/>
        <v>0</v>
      </c>
    </row>
    <row r="28" spans="1:71" ht="11.25">
      <c r="A28" s="60"/>
      <c r="B28" s="405"/>
      <c r="C28" s="406" t="s">
        <v>146</v>
      </c>
      <c r="D28" s="382" t="s">
        <v>170</v>
      </c>
      <c r="E28" s="383">
        <f>IF(ISERROR(VLOOKUP(C28,'CA Level'!$B$7:$D$86,3,FALSE)),0,VLOOKUP(C28,'CA Level'!$B$7:$D$86,3,FALSE))</f>
        <v>32.972</v>
      </c>
      <c r="F28" s="383">
        <v>137.59684</v>
      </c>
      <c r="G28" s="397">
        <f t="shared" si="15"/>
        <v>104.62483999999998</v>
      </c>
      <c r="H28" s="398">
        <f t="shared" si="16"/>
        <v>3.1731420599296363</v>
      </c>
      <c r="I28" s="417"/>
      <c r="J28" s="415"/>
      <c r="K28" s="46"/>
      <c r="L28" s="386"/>
      <c r="M28" s="387">
        <v>0.046</v>
      </c>
      <c r="N28" s="387">
        <v>0.022</v>
      </c>
      <c r="O28" s="387">
        <v>0.051</v>
      </c>
      <c r="P28" s="387">
        <v>0.083</v>
      </c>
      <c r="Q28" s="387">
        <v>0.008</v>
      </c>
      <c r="R28" s="387">
        <v>0.79</v>
      </c>
      <c r="S28" s="387">
        <v>0</v>
      </c>
      <c r="T28" s="387">
        <v>0</v>
      </c>
      <c r="U28" s="39">
        <f t="shared" si="17"/>
        <v>0</v>
      </c>
      <c r="W28" s="383">
        <f t="shared" si="18"/>
        <v>1.516712</v>
      </c>
      <c r="X28" s="383">
        <f t="shared" si="19"/>
        <v>0.725384</v>
      </c>
      <c r="Y28" s="383">
        <f t="shared" si="20"/>
        <v>1.681572</v>
      </c>
      <c r="Z28" s="383">
        <f t="shared" si="21"/>
        <v>2.736676</v>
      </c>
      <c r="AA28" s="383">
        <f t="shared" si="22"/>
        <v>0.263776</v>
      </c>
      <c r="AB28" s="383">
        <f t="shared" si="23"/>
        <v>26.047880000000003</v>
      </c>
      <c r="AC28" s="383">
        <f t="shared" si="24"/>
        <v>0</v>
      </c>
      <c r="AD28" s="383">
        <f t="shared" si="25"/>
        <v>0</v>
      </c>
      <c r="AE28" s="58"/>
      <c r="AF28" s="387">
        <v>0.12</v>
      </c>
      <c r="AG28" s="387">
        <v>0.05</v>
      </c>
      <c r="AH28" s="387">
        <v>0.15</v>
      </c>
      <c r="AI28" s="387">
        <v>0.14</v>
      </c>
      <c r="AJ28" s="387">
        <v>0</v>
      </c>
      <c r="AK28" s="387">
        <v>0.54</v>
      </c>
      <c r="AL28" s="387">
        <v>0</v>
      </c>
      <c r="AM28" s="387">
        <v>0</v>
      </c>
      <c r="AN28" s="39">
        <f t="shared" si="29"/>
        <v>0</v>
      </c>
      <c r="AP28" s="383">
        <f t="shared" si="52"/>
        <v>16.5116208</v>
      </c>
      <c r="AQ28" s="383">
        <f t="shared" si="53"/>
        <v>6.879842</v>
      </c>
      <c r="AR28" s="383">
        <f t="shared" si="30"/>
        <v>20.639525999999996</v>
      </c>
      <c r="AS28" s="383">
        <f t="shared" si="31"/>
        <v>19.2635576</v>
      </c>
      <c r="AT28" s="383">
        <f t="shared" si="32"/>
        <v>0</v>
      </c>
      <c r="AU28" s="383">
        <f t="shared" si="33"/>
        <v>74.3022936</v>
      </c>
      <c r="AV28" s="383">
        <f t="shared" si="34"/>
        <v>0</v>
      </c>
      <c r="AW28" s="383">
        <f t="shared" si="35"/>
        <v>0</v>
      </c>
      <c r="AX28" s="58"/>
      <c r="AY28" s="383" t="s">
        <v>146</v>
      </c>
      <c r="AZ28" s="383">
        <v>32.972</v>
      </c>
      <c r="BA28" s="383">
        <f t="shared" si="36"/>
        <v>3.95664</v>
      </c>
      <c r="BB28" s="383">
        <f t="shared" si="37"/>
        <v>1.6486</v>
      </c>
      <c r="BC28" s="383">
        <f t="shared" si="38"/>
        <v>4.9458</v>
      </c>
      <c r="BD28" s="383">
        <f t="shared" si="39"/>
        <v>4.61608</v>
      </c>
      <c r="BE28" s="383">
        <f t="shared" si="40"/>
        <v>0</v>
      </c>
      <c r="BF28" s="383">
        <f t="shared" si="41"/>
        <v>17.80488</v>
      </c>
      <c r="BG28" s="383">
        <f t="shared" si="42"/>
        <v>0</v>
      </c>
      <c r="BH28" s="383">
        <f t="shared" si="43"/>
        <v>0</v>
      </c>
      <c r="BJ28" s="382" t="s">
        <v>146</v>
      </c>
      <c r="BK28" s="383">
        <v>107</v>
      </c>
      <c r="BL28" s="383">
        <f t="shared" si="44"/>
        <v>12.84</v>
      </c>
      <c r="BM28" s="383">
        <f t="shared" si="45"/>
        <v>5.3500000000000005</v>
      </c>
      <c r="BN28" s="383">
        <f t="shared" si="46"/>
        <v>16.05</v>
      </c>
      <c r="BO28" s="383">
        <f t="shared" si="47"/>
        <v>14.980000000000002</v>
      </c>
      <c r="BP28" s="383">
        <f t="shared" si="48"/>
        <v>0</v>
      </c>
      <c r="BQ28" s="383">
        <f t="shared" si="49"/>
        <v>57.78</v>
      </c>
      <c r="BR28" s="383">
        <f t="shared" si="50"/>
        <v>0</v>
      </c>
      <c r="BS28" s="383">
        <f t="shared" si="51"/>
        <v>0</v>
      </c>
    </row>
    <row r="29" spans="1:71" ht="11.25">
      <c r="A29" s="60"/>
      <c r="B29" s="405"/>
      <c r="C29" s="416" t="s">
        <v>145</v>
      </c>
      <c r="D29" s="382" t="s">
        <v>248</v>
      </c>
      <c r="E29" s="383">
        <f>IF(ISERROR(VLOOKUP(C29,'CA Level'!$B$7:$D$86,3,FALSE)),0,VLOOKUP(C29,'CA Level'!$B$7:$D$86,3,FALSE))</f>
        <v>24.729000000000003</v>
      </c>
      <c r="F29" s="383">
        <v>9.52366</v>
      </c>
      <c r="G29" s="397">
        <f t="shared" si="15"/>
        <v>-15.205340000000003</v>
      </c>
      <c r="H29" s="398">
        <f t="shared" si="16"/>
        <v>-0.6148788871365604</v>
      </c>
      <c r="I29" s="417"/>
      <c r="J29" s="415"/>
      <c r="K29" s="46"/>
      <c r="L29" s="386"/>
      <c r="M29" s="387">
        <v>0.046</v>
      </c>
      <c r="N29" s="387">
        <v>0.022</v>
      </c>
      <c r="O29" s="387">
        <v>0.051</v>
      </c>
      <c r="P29" s="387">
        <v>0.083</v>
      </c>
      <c r="Q29" s="387">
        <v>0.008</v>
      </c>
      <c r="R29" s="387">
        <v>0.79</v>
      </c>
      <c r="S29" s="387">
        <v>0</v>
      </c>
      <c r="T29" s="387">
        <v>0</v>
      </c>
      <c r="U29" s="39">
        <f t="shared" si="17"/>
        <v>0</v>
      </c>
      <c r="W29" s="383">
        <f t="shared" si="18"/>
        <v>1.137534</v>
      </c>
      <c r="X29" s="383">
        <f t="shared" si="19"/>
        <v>0.544038</v>
      </c>
      <c r="Y29" s="383">
        <f t="shared" si="20"/>
        <v>1.261179</v>
      </c>
      <c r="Z29" s="383">
        <f t="shared" si="21"/>
        <v>2.0525070000000003</v>
      </c>
      <c r="AA29" s="383">
        <f t="shared" si="22"/>
        <v>0.19783200000000004</v>
      </c>
      <c r="AB29" s="383">
        <f t="shared" si="23"/>
        <v>19.535910000000005</v>
      </c>
      <c r="AC29" s="383">
        <f t="shared" si="24"/>
        <v>0</v>
      </c>
      <c r="AD29" s="383">
        <f t="shared" si="25"/>
        <v>0</v>
      </c>
      <c r="AE29" s="58"/>
      <c r="AF29" s="387">
        <v>0.12</v>
      </c>
      <c r="AG29" s="387">
        <v>0.05</v>
      </c>
      <c r="AH29" s="387">
        <v>0.15</v>
      </c>
      <c r="AI29" s="387">
        <v>0.14</v>
      </c>
      <c r="AJ29" s="387">
        <v>0</v>
      </c>
      <c r="AK29" s="387">
        <v>0.54</v>
      </c>
      <c r="AL29" s="387">
        <v>0</v>
      </c>
      <c r="AM29" s="387">
        <v>0</v>
      </c>
      <c r="AN29" s="39">
        <f t="shared" si="29"/>
        <v>0</v>
      </c>
      <c r="AP29" s="383">
        <f t="shared" si="52"/>
        <v>1.1428391999999998</v>
      </c>
      <c r="AQ29" s="383">
        <f t="shared" si="53"/>
        <v>0.476183</v>
      </c>
      <c r="AR29" s="383">
        <f t="shared" si="30"/>
        <v>1.4285489999999998</v>
      </c>
      <c r="AS29" s="383">
        <f t="shared" si="31"/>
        <v>1.3333124</v>
      </c>
      <c r="AT29" s="383">
        <f t="shared" si="32"/>
        <v>0</v>
      </c>
      <c r="AU29" s="383">
        <f t="shared" si="33"/>
        <v>5.1427764</v>
      </c>
      <c r="AV29" s="383">
        <f t="shared" si="34"/>
        <v>0</v>
      </c>
      <c r="AW29" s="383">
        <f t="shared" si="35"/>
        <v>0</v>
      </c>
      <c r="AX29" s="58"/>
      <c r="AY29" s="383" t="s">
        <v>145</v>
      </c>
      <c r="AZ29" s="383">
        <v>24.729000000000003</v>
      </c>
      <c r="BA29" s="383">
        <f t="shared" si="36"/>
        <v>2.96748</v>
      </c>
      <c r="BB29" s="383">
        <f t="shared" si="37"/>
        <v>1.2364500000000003</v>
      </c>
      <c r="BC29" s="383">
        <f t="shared" si="38"/>
        <v>3.70935</v>
      </c>
      <c r="BD29" s="383">
        <f t="shared" si="39"/>
        <v>3.4620600000000006</v>
      </c>
      <c r="BE29" s="383">
        <f t="shared" si="40"/>
        <v>0</v>
      </c>
      <c r="BF29" s="383">
        <f t="shared" si="41"/>
        <v>13.353660000000003</v>
      </c>
      <c r="BG29" s="383">
        <f t="shared" si="42"/>
        <v>0</v>
      </c>
      <c r="BH29" s="383">
        <f t="shared" si="43"/>
        <v>0</v>
      </c>
      <c r="BJ29" s="382" t="s">
        <v>145</v>
      </c>
      <c r="BK29" s="383">
        <v>24.729000000000003</v>
      </c>
      <c r="BL29" s="383">
        <f t="shared" si="44"/>
        <v>2.96748</v>
      </c>
      <c r="BM29" s="383">
        <f t="shared" si="45"/>
        <v>1.2364500000000003</v>
      </c>
      <c r="BN29" s="383">
        <f t="shared" si="46"/>
        <v>3.70935</v>
      </c>
      <c r="BO29" s="383">
        <f t="shared" si="47"/>
        <v>3.4620600000000006</v>
      </c>
      <c r="BP29" s="383">
        <f t="shared" si="48"/>
        <v>0</v>
      </c>
      <c r="BQ29" s="383">
        <f t="shared" si="49"/>
        <v>13.353660000000003</v>
      </c>
      <c r="BR29" s="383">
        <f t="shared" si="50"/>
        <v>0</v>
      </c>
      <c r="BS29" s="383">
        <f t="shared" si="51"/>
        <v>0</v>
      </c>
    </row>
    <row r="30" spans="1:71" ht="11.25">
      <c r="A30" s="60"/>
      <c r="B30" s="405"/>
      <c r="C30" s="406" t="s">
        <v>144</v>
      </c>
      <c r="D30" s="382" t="s">
        <v>247</v>
      </c>
      <c r="E30" s="383">
        <f>IF(ISERROR(VLOOKUP(C30,'CA Level'!$B$7:$D$86,3,FALSE)),0,VLOOKUP(C30,'CA Level'!$B$7:$D$86,3,FALSE))</f>
        <v>60.099999999999994</v>
      </c>
      <c r="F30" s="383">
        <v>122</v>
      </c>
      <c r="G30" s="397">
        <f t="shared" si="15"/>
        <v>61.900000000000006</v>
      </c>
      <c r="H30" s="398">
        <f t="shared" si="16"/>
        <v>1.0299500831946757</v>
      </c>
      <c r="I30" s="417"/>
      <c r="J30" s="415"/>
      <c r="K30" s="46"/>
      <c r="L30" s="386"/>
      <c r="M30" s="387">
        <v>0.046</v>
      </c>
      <c r="N30" s="387">
        <v>0.022</v>
      </c>
      <c r="O30" s="387">
        <v>0.051</v>
      </c>
      <c r="P30" s="387">
        <v>0.083</v>
      </c>
      <c r="Q30" s="387">
        <v>0.008</v>
      </c>
      <c r="R30" s="387">
        <v>0.79</v>
      </c>
      <c r="S30" s="387">
        <v>0</v>
      </c>
      <c r="T30" s="387">
        <v>0</v>
      </c>
      <c r="U30" s="39">
        <f t="shared" si="17"/>
        <v>0</v>
      </c>
      <c r="W30" s="383">
        <f t="shared" si="18"/>
        <v>2.7645999999999997</v>
      </c>
      <c r="X30" s="383">
        <f t="shared" si="19"/>
        <v>1.3221999999999998</v>
      </c>
      <c r="Y30" s="383">
        <f t="shared" si="20"/>
        <v>3.0650999999999997</v>
      </c>
      <c r="Z30" s="383">
        <f t="shared" si="21"/>
        <v>4.9883</v>
      </c>
      <c r="AA30" s="383">
        <f t="shared" si="22"/>
        <v>0.48079999999999995</v>
      </c>
      <c r="AB30" s="383">
        <f t="shared" si="23"/>
        <v>47.479</v>
      </c>
      <c r="AC30" s="383">
        <f t="shared" si="24"/>
        <v>0</v>
      </c>
      <c r="AD30" s="383">
        <f t="shared" si="25"/>
        <v>0</v>
      </c>
      <c r="AE30" s="58"/>
      <c r="AF30" s="387">
        <v>0.12</v>
      </c>
      <c r="AG30" s="387">
        <v>0.05</v>
      </c>
      <c r="AH30" s="387">
        <v>0.15</v>
      </c>
      <c r="AI30" s="387">
        <v>0.14</v>
      </c>
      <c r="AJ30" s="387">
        <v>0</v>
      </c>
      <c r="AK30" s="387">
        <v>0.54</v>
      </c>
      <c r="AL30" s="387">
        <v>0</v>
      </c>
      <c r="AM30" s="387">
        <v>0</v>
      </c>
      <c r="AN30" s="39">
        <f t="shared" si="29"/>
        <v>0</v>
      </c>
      <c r="AP30" s="383">
        <f t="shared" si="52"/>
        <v>14.639999999999999</v>
      </c>
      <c r="AQ30" s="383">
        <f t="shared" si="53"/>
        <v>6.1000000000000005</v>
      </c>
      <c r="AR30" s="383">
        <f t="shared" si="30"/>
        <v>18.3</v>
      </c>
      <c r="AS30" s="383">
        <f t="shared" si="31"/>
        <v>17.080000000000002</v>
      </c>
      <c r="AT30" s="383">
        <f t="shared" si="32"/>
        <v>0</v>
      </c>
      <c r="AU30" s="383">
        <f t="shared" si="33"/>
        <v>65.88000000000001</v>
      </c>
      <c r="AV30" s="383">
        <f t="shared" si="34"/>
        <v>0</v>
      </c>
      <c r="AW30" s="383">
        <f t="shared" si="35"/>
        <v>0</v>
      </c>
      <c r="AX30" s="58"/>
      <c r="AY30" s="383" t="s">
        <v>144</v>
      </c>
      <c r="AZ30" s="383">
        <v>60.1</v>
      </c>
      <c r="BA30" s="383">
        <f t="shared" si="36"/>
        <v>7.212</v>
      </c>
      <c r="BB30" s="383">
        <f t="shared" si="37"/>
        <v>3.0050000000000003</v>
      </c>
      <c r="BC30" s="383">
        <f t="shared" si="38"/>
        <v>9.015</v>
      </c>
      <c r="BD30" s="383">
        <f t="shared" si="39"/>
        <v>8.414000000000001</v>
      </c>
      <c r="BE30" s="383">
        <f t="shared" si="40"/>
        <v>0</v>
      </c>
      <c r="BF30" s="383">
        <f t="shared" si="41"/>
        <v>32.454</v>
      </c>
      <c r="BG30" s="383">
        <f t="shared" si="42"/>
        <v>0</v>
      </c>
      <c r="BH30" s="383">
        <f t="shared" si="43"/>
        <v>0</v>
      </c>
      <c r="BJ30" s="382" t="s">
        <v>144</v>
      </c>
      <c r="BK30" s="383">
        <v>450</v>
      </c>
      <c r="BL30" s="383">
        <f t="shared" si="44"/>
        <v>54</v>
      </c>
      <c r="BM30" s="383">
        <f t="shared" si="45"/>
        <v>22.5</v>
      </c>
      <c r="BN30" s="383">
        <f t="shared" si="46"/>
        <v>67.5</v>
      </c>
      <c r="BO30" s="383">
        <f t="shared" si="47"/>
        <v>63.00000000000001</v>
      </c>
      <c r="BP30" s="383">
        <f t="shared" si="48"/>
        <v>0</v>
      </c>
      <c r="BQ30" s="383">
        <f t="shared" si="49"/>
        <v>243.00000000000003</v>
      </c>
      <c r="BR30" s="383">
        <f t="shared" si="50"/>
        <v>0</v>
      </c>
      <c r="BS30" s="383">
        <f t="shared" si="51"/>
        <v>0</v>
      </c>
    </row>
    <row r="31" spans="1:71" ht="11.25">
      <c r="A31" s="60"/>
      <c r="B31" s="405"/>
      <c r="C31" s="406" t="s">
        <v>143</v>
      </c>
      <c r="D31" s="382" t="s">
        <v>246</v>
      </c>
      <c r="E31" s="383">
        <f>IF(ISERROR(VLOOKUP(C31,'CA Level'!$B$7:$D$86,3,FALSE)),0,VLOOKUP(C31,'CA Level'!$B$7:$D$86,3,FALSE))</f>
        <v>0</v>
      </c>
      <c r="F31" s="383">
        <v>149.85305</v>
      </c>
      <c r="G31" s="397">
        <f t="shared" si="15"/>
        <v>149.85305</v>
      </c>
      <c r="H31" s="398" t="str">
        <f t="shared" si="16"/>
        <v>'NA'</v>
      </c>
      <c r="I31" s="417"/>
      <c r="J31" s="415"/>
      <c r="K31" s="46"/>
      <c r="L31" s="386"/>
      <c r="M31" s="387">
        <v>0.046</v>
      </c>
      <c r="N31" s="387">
        <v>0.022</v>
      </c>
      <c r="O31" s="387">
        <v>0.051</v>
      </c>
      <c r="P31" s="387">
        <v>0.083</v>
      </c>
      <c r="Q31" s="387">
        <v>0.008</v>
      </c>
      <c r="R31" s="387">
        <v>0.79</v>
      </c>
      <c r="S31" s="387">
        <v>0</v>
      </c>
      <c r="T31" s="387">
        <v>0</v>
      </c>
      <c r="U31" s="39">
        <f t="shared" si="17"/>
        <v>0</v>
      </c>
      <c r="W31" s="383">
        <f t="shared" si="18"/>
        <v>0</v>
      </c>
      <c r="X31" s="383">
        <f t="shared" si="19"/>
        <v>0</v>
      </c>
      <c r="Y31" s="383">
        <f t="shared" si="20"/>
        <v>0</v>
      </c>
      <c r="Z31" s="383">
        <f t="shared" si="21"/>
        <v>0</v>
      </c>
      <c r="AA31" s="383">
        <f t="shared" si="22"/>
        <v>0</v>
      </c>
      <c r="AB31" s="383">
        <f t="shared" si="23"/>
        <v>0</v>
      </c>
      <c r="AC31" s="383">
        <f t="shared" si="24"/>
        <v>0</v>
      </c>
      <c r="AD31" s="383">
        <f t="shared" si="25"/>
        <v>0</v>
      </c>
      <c r="AE31" s="58"/>
      <c r="AF31" s="387">
        <v>1</v>
      </c>
      <c r="AG31" s="387">
        <v>0</v>
      </c>
      <c r="AH31" s="387">
        <v>0</v>
      </c>
      <c r="AI31" s="387">
        <v>0</v>
      </c>
      <c r="AJ31" s="387">
        <v>0</v>
      </c>
      <c r="AK31" s="387">
        <v>0</v>
      </c>
      <c r="AL31" s="387">
        <v>0</v>
      </c>
      <c r="AM31" s="387">
        <v>0</v>
      </c>
      <c r="AN31" s="39">
        <f t="shared" si="29"/>
        <v>0</v>
      </c>
      <c r="AP31" s="383">
        <f t="shared" si="52"/>
        <v>149.85305</v>
      </c>
      <c r="AQ31" s="383">
        <f t="shared" si="53"/>
        <v>0</v>
      </c>
      <c r="AR31" s="383">
        <f t="shared" si="30"/>
        <v>0</v>
      </c>
      <c r="AS31" s="383">
        <f t="shared" si="31"/>
        <v>0</v>
      </c>
      <c r="AT31" s="383">
        <f t="shared" si="32"/>
        <v>0</v>
      </c>
      <c r="AU31" s="383">
        <f t="shared" si="33"/>
        <v>0</v>
      </c>
      <c r="AV31" s="383">
        <f t="shared" si="34"/>
        <v>0</v>
      </c>
      <c r="AW31" s="383">
        <f t="shared" si="35"/>
        <v>0</v>
      </c>
      <c r="AX31" s="58"/>
      <c r="AY31" s="383"/>
      <c r="AZ31" s="383"/>
      <c r="BA31" s="383">
        <f t="shared" si="36"/>
        <v>0</v>
      </c>
      <c r="BB31" s="383">
        <f t="shared" si="37"/>
        <v>0</v>
      </c>
      <c r="BC31" s="383">
        <f t="shared" si="38"/>
        <v>0</v>
      </c>
      <c r="BD31" s="383">
        <f t="shared" si="39"/>
        <v>0</v>
      </c>
      <c r="BE31" s="383">
        <f t="shared" si="40"/>
        <v>0</v>
      </c>
      <c r="BF31" s="383">
        <f t="shared" si="41"/>
        <v>0</v>
      </c>
      <c r="BG31" s="383">
        <f t="shared" si="42"/>
        <v>0</v>
      </c>
      <c r="BH31" s="383">
        <f t="shared" si="43"/>
        <v>0</v>
      </c>
      <c r="BJ31" s="382" t="s">
        <v>143</v>
      </c>
      <c r="BK31" s="383">
        <v>185</v>
      </c>
      <c r="BL31" s="383">
        <f t="shared" si="44"/>
        <v>185</v>
      </c>
      <c r="BM31" s="383">
        <f t="shared" si="45"/>
        <v>0</v>
      </c>
      <c r="BN31" s="383">
        <f t="shared" si="46"/>
        <v>0</v>
      </c>
      <c r="BO31" s="383">
        <f t="shared" si="47"/>
        <v>0</v>
      </c>
      <c r="BP31" s="383">
        <f t="shared" si="48"/>
        <v>0</v>
      </c>
      <c r="BQ31" s="383">
        <f t="shared" si="49"/>
        <v>0</v>
      </c>
      <c r="BR31" s="383">
        <f t="shared" si="50"/>
        <v>0</v>
      </c>
      <c r="BS31" s="383">
        <f t="shared" si="51"/>
        <v>0</v>
      </c>
    </row>
    <row r="32" spans="1:71" ht="11.25">
      <c r="A32" s="60"/>
      <c r="B32" s="405"/>
      <c r="C32" s="406" t="s">
        <v>245</v>
      </c>
      <c r="D32" s="382" t="s">
        <v>244</v>
      </c>
      <c r="E32" s="383">
        <f>IF(ISERROR(VLOOKUP(C32,'CA Level'!$B$7:$D$86,3,FALSE)),0,VLOOKUP(C32,'CA Level'!$B$7:$D$86,3,FALSE))</f>
        <v>0</v>
      </c>
      <c r="F32" s="383">
        <v>1347.30467</v>
      </c>
      <c r="G32" s="397">
        <f t="shared" si="15"/>
        <v>1347.30467</v>
      </c>
      <c r="H32" s="398" t="str">
        <f t="shared" si="16"/>
        <v>'NA'</v>
      </c>
      <c r="I32" s="417"/>
      <c r="J32" s="415"/>
      <c r="K32" s="46"/>
      <c r="L32" s="386"/>
      <c r="M32" s="387">
        <v>0.046</v>
      </c>
      <c r="N32" s="387">
        <v>0.022</v>
      </c>
      <c r="O32" s="387">
        <v>0.051</v>
      </c>
      <c r="P32" s="387">
        <v>0.083</v>
      </c>
      <c r="Q32" s="387">
        <v>0.008</v>
      </c>
      <c r="R32" s="387">
        <v>0.79</v>
      </c>
      <c r="S32" s="387">
        <v>0</v>
      </c>
      <c r="T32" s="387">
        <v>0</v>
      </c>
      <c r="U32" s="39">
        <f t="shared" si="17"/>
        <v>0</v>
      </c>
      <c r="W32" s="383">
        <f t="shared" si="18"/>
        <v>0</v>
      </c>
      <c r="X32" s="383">
        <f t="shared" si="19"/>
        <v>0</v>
      </c>
      <c r="Y32" s="383">
        <f t="shared" si="20"/>
        <v>0</v>
      </c>
      <c r="Z32" s="383">
        <f t="shared" si="21"/>
        <v>0</v>
      </c>
      <c r="AA32" s="383">
        <f t="shared" si="22"/>
        <v>0</v>
      </c>
      <c r="AB32" s="383">
        <f t="shared" si="23"/>
        <v>0</v>
      </c>
      <c r="AC32" s="383">
        <f t="shared" si="24"/>
        <v>0</v>
      </c>
      <c r="AD32" s="383">
        <f t="shared" si="25"/>
        <v>0</v>
      </c>
      <c r="AE32" s="58"/>
      <c r="AF32" s="387">
        <v>0.12</v>
      </c>
      <c r="AG32" s="387">
        <v>0.05</v>
      </c>
      <c r="AH32" s="387">
        <v>0.15</v>
      </c>
      <c r="AI32" s="387">
        <v>0.14</v>
      </c>
      <c r="AJ32" s="387">
        <v>0</v>
      </c>
      <c r="AK32" s="387">
        <v>0.54</v>
      </c>
      <c r="AL32" s="387">
        <v>0</v>
      </c>
      <c r="AM32" s="387">
        <v>0</v>
      </c>
      <c r="AN32" s="39">
        <f t="shared" si="29"/>
        <v>0</v>
      </c>
      <c r="AP32" s="383">
        <f t="shared" si="52"/>
        <v>161.6765604</v>
      </c>
      <c r="AQ32" s="383">
        <f t="shared" si="53"/>
        <v>67.3652335</v>
      </c>
      <c r="AR32" s="383">
        <f t="shared" si="30"/>
        <v>202.0957005</v>
      </c>
      <c r="AS32" s="383">
        <f t="shared" si="31"/>
        <v>188.62265380000002</v>
      </c>
      <c r="AT32" s="383">
        <f t="shared" si="32"/>
        <v>0</v>
      </c>
      <c r="AU32" s="383">
        <f t="shared" si="33"/>
        <v>727.5445218000001</v>
      </c>
      <c r="AV32" s="383">
        <f t="shared" si="34"/>
        <v>0</v>
      </c>
      <c r="AW32" s="383">
        <f t="shared" si="35"/>
        <v>0</v>
      </c>
      <c r="AX32" s="58"/>
      <c r="AY32" s="383"/>
      <c r="AZ32" s="383"/>
      <c r="BA32" s="383">
        <f t="shared" si="36"/>
        <v>0</v>
      </c>
      <c r="BB32" s="383">
        <f t="shared" si="37"/>
        <v>0</v>
      </c>
      <c r="BC32" s="383">
        <f t="shared" si="38"/>
        <v>0</v>
      </c>
      <c r="BD32" s="383">
        <f t="shared" si="39"/>
        <v>0</v>
      </c>
      <c r="BE32" s="383">
        <f t="shared" si="40"/>
        <v>0</v>
      </c>
      <c r="BF32" s="383">
        <f t="shared" si="41"/>
        <v>0</v>
      </c>
      <c r="BG32" s="383">
        <f t="shared" si="42"/>
        <v>0</v>
      </c>
      <c r="BH32" s="383">
        <f t="shared" si="43"/>
        <v>0</v>
      </c>
      <c r="BJ32" s="382"/>
      <c r="BK32" s="383"/>
      <c r="BL32" s="383">
        <f t="shared" si="44"/>
        <v>0</v>
      </c>
      <c r="BM32" s="383">
        <f t="shared" si="45"/>
        <v>0</v>
      </c>
      <c r="BN32" s="383">
        <f t="shared" si="46"/>
        <v>0</v>
      </c>
      <c r="BO32" s="383">
        <f t="shared" si="47"/>
        <v>0</v>
      </c>
      <c r="BP32" s="383">
        <f t="shared" si="48"/>
        <v>0</v>
      </c>
      <c r="BQ32" s="383">
        <f t="shared" si="49"/>
        <v>0</v>
      </c>
      <c r="BR32" s="383">
        <f t="shared" si="50"/>
        <v>0</v>
      </c>
      <c r="BS32" s="383">
        <f t="shared" si="51"/>
        <v>0</v>
      </c>
    </row>
    <row r="33" spans="1:71" ht="11.25">
      <c r="A33" s="60"/>
      <c r="B33" s="405"/>
      <c r="C33" s="406" t="s">
        <v>243</v>
      </c>
      <c r="D33" s="382" t="s">
        <v>175</v>
      </c>
      <c r="E33" s="383">
        <f>IF(ISERROR(VLOOKUP(C33,'CA Level'!$B$7:$D$86,3,FALSE)),0,VLOOKUP(C33,'CA Level'!$B$7:$D$86,3,FALSE))</f>
        <v>0</v>
      </c>
      <c r="F33" s="383">
        <v>1204</v>
      </c>
      <c r="G33" s="397">
        <f t="shared" si="15"/>
        <v>1204</v>
      </c>
      <c r="H33" s="398" t="str">
        <f t="shared" si="16"/>
        <v>'NA'</v>
      </c>
      <c r="I33" s="417"/>
      <c r="J33" s="415"/>
      <c r="K33" s="46"/>
      <c r="L33" s="386"/>
      <c r="M33" s="387">
        <v>0.046</v>
      </c>
      <c r="N33" s="387">
        <v>0.022</v>
      </c>
      <c r="O33" s="387">
        <v>0.051</v>
      </c>
      <c r="P33" s="387">
        <v>0.083</v>
      </c>
      <c r="Q33" s="387">
        <v>0.008</v>
      </c>
      <c r="R33" s="387">
        <v>0.79</v>
      </c>
      <c r="S33" s="387">
        <v>0</v>
      </c>
      <c r="T33" s="387">
        <v>0</v>
      </c>
      <c r="U33" s="39">
        <f t="shared" si="17"/>
        <v>0</v>
      </c>
      <c r="W33" s="383">
        <f t="shared" si="18"/>
        <v>0</v>
      </c>
      <c r="X33" s="383">
        <f t="shared" si="19"/>
        <v>0</v>
      </c>
      <c r="Y33" s="383">
        <f t="shared" si="20"/>
        <v>0</v>
      </c>
      <c r="Z33" s="383">
        <f t="shared" si="21"/>
        <v>0</v>
      </c>
      <c r="AA33" s="383">
        <f t="shared" si="22"/>
        <v>0</v>
      </c>
      <c r="AB33" s="383">
        <f t="shared" si="23"/>
        <v>0</v>
      </c>
      <c r="AC33" s="383">
        <f t="shared" si="24"/>
        <v>0</v>
      </c>
      <c r="AD33" s="383">
        <f t="shared" si="25"/>
        <v>0</v>
      </c>
      <c r="AE33" s="58"/>
      <c r="AF33" s="387">
        <v>0.05</v>
      </c>
      <c r="AG33" s="387">
        <v>0.05</v>
      </c>
      <c r="AH33" s="387">
        <v>0.05</v>
      </c>
      <c r="AI33" s="387">
        <v>0.31</v>
      </c>
      <c r="AJ33" s="387">
        <v>0</v>
      </c>
      <c r="AK33" s="387">
        <v>0.54</v>
      </c>
      <c r="AL33" s="387">
        <v>0</v>
      </c>
      <c r="AM33" s="387">
        <v>0</v>
      </c>
      <c r="AN33" s="39">
        <f t="shared" si="29"/>
        <v>0</v>
      </c>
      <c r="AP33" s="383">
        <f t="shared" si="52"/>
        <v>60.2</v>
      </c>
      <c r="AQ33" s="383">
        <f t="shared" si="53"/>
        <v>60.2</v>
      </c>
      <c r="AR33" s="383">
        <f t="shared" si="30"/>
        <v>60.2</v>
      </c>
      <c r="AS33" s="383">
        <f t="shared" si="31"/>
        <v>373.24</v>
      </c>
      <c r="AT33" s="383">
        <f t="shared" si="32"/>
        <v>0</v>
      </c>
      <c r="AU33" s="383">
        <f t="shared" si="33"/>
        <v>650.1600000000001</v>
      </c>
      <c r="AV33" s="383">
        <f t="shared" si="34"/>
        <v>0</v>
      </c>
      <c r="AW33" s="383">
        <f t="shared" si="35"/>
        <v>0</v>
      </c>
      <c r="AX33" s="58"/>
      <c r="AY33" s="383"/>
      <c r="AZ33" s="383"/>
      <c r="BA33" s="383">
        <f t="shared" si="36"/>
        <v>0</v>
      </c>
      <c r="BB33" s="383">
        <f t="shared" si="37"/>
        <v>0</v>
      </c>
      <c r="BC33" s="383">
        <f t="shared" si="38"/>
        <v>0</v>
      </c>
      <c r="BD33" s="383">
        <f t="shared" si="39"/>
        <v>0</v>
      </c>
      <c r="BE33" s="383">
        <f t="shared" si="40"/>
        <v>0</v>
      </c>
      <c r="BF33" s="383">
        <f t="shared" si="41"/>
        <v>0</v>
      </c>
      <c r="BG33" s="383">
        <f t="shared" si="42"/>
        <v>0</v>
      </c>
      <c r="BH33" s="383">
        <f t="shared" si="43"/>
        <v>0</v>
      </c>
      <c r="BJ33" s="382"/>
      <c r="BK33" s="383"/>
      <c r="BL33" s="383">
        <f t="shared" si="44"/>
        <v>0</v>
      </c>
      <c r="BM33" s="383">
        <f t="shared" si="45"/>
        <v>0</v>
      </c>
      <c r="BN33" s="383">
        <f t="shared" si="46"/>
        <v>0</v>
      </c>
      <c r="BO33" s="383">
        <f t="shared" si="47"/>
        <v>0</v>
      </c>
      <c r="BP33" s="383">
        <f t="shared" si="48"/>
        <v>0</v>
      </c>
      <c r="BQ33" s="383">
        <f t="shared" si="49"/>
        <v>0</v>
      </c>
      <c r="BR33" s="383">
        <f t="shared" si="50"/>
        <v>0</v>
      </c>
      <c r="BS33" s="383">
        <f t="shared" si="51"/>
        <v>0</v>
      </c>
    </row>
    <row r="34" spans="1:71" ht="11.25">
      <c r="A34" s="60"/>
      <c r="B34" s="405"/>
      <c r="C34" s="406" t="s">
        <v>142</v>
      </c>
      <c r="D34" s="382" t="s">
        <v>166</v>
      </c>
      <c r="E34" s="383">
        <f>IF(ISERROR(VLOOKUP(C34,'CA Level'!$B$7:$D$86,3,FALSE)),0,VLOOKUP(C34,'CA Level'!$B$7:$D$86,3,FALSE))</f>
        <v>426.4248</v>
      </c>
      <c r="F34" s="383">
        <v>2</v>
      </c>
      <c r="G34" s="397">
        <f t="shared" si="15"/>
        <v>-424.4248</v>
      </c>
      <c r="H34" s="398">
        <f t="shared" si="16"/>
        <v>-0.9953098412662679</v>
      </c>
      <c r="I34" s="417"/>
      <c r="J34" s="415"/>
      <c r="K34" s="46"/>
      <c r="L34" s="386"/>
      <c r="M34" s="387">
        <v>0.046</v>
      </c>
      <c r="N34" s="387">
        <v>0.022</v>
      </c>
      <c r="O34" s="387">
        <v>0.051</v>
      </c>
      <c r="P34" s="387">
        <v>0.083</v>
      </c>
      <c r="Q34" s="387">
        <v>0.008</v>
      </c>
      <c r="R34" s="387">
        <v>0.79</v>
      </c>
      <c r="S34" s="387">
        <v>0</v>
      </c>
      <c r="T34" s="387">
        <v>0</v>
      </c>
      <c r="U34" s="39">
        <f t="shared" si="17"/>
        <v>0</v>
      </c>
      <c r="W34" s="383">
        <f t="shared" si="18"/>
        <v>19.6155408</v>
      </c>
      <c r="X34" s="383">
        <f t="shared" si="19"/>
        <v>9.3813456</v>
      </c>
      <c r="Y34" s="383">
        <f t="shared" si="20"/>
        <v>21.7476648</v>
      </c>
      <c r="Z34" s="383">
        <f t="shared" si="21"/>
        <v>35.3932584</v>
      </c>
      <c r="AA34" s="383">
        <f t="shared" si="22"/>
        <v>3.4113984</v>
      </c>
      <c r="AB34" s="383">
        <f t="shared" si="23"/>
        <v>336.87559200000004</v>
      </c>
      <c r="AC34" s="383">
        <f t="shared" si="24"/>
        <v>0</v>
      </c>
      <c r="AD34" s="383">
        <f t="shared" si="25"/>
        <v>0</v>
      </c>
      <c r="AE34" s="58"/>
      <c r="AF34" s="387">
        <v>0.12</v>
      </c>
      <c r="AG34" s="387">
        <v>0.05</v>
      </c>
      <c r="AH34" s="387">
        <v>0.15</v>
      </c>
      <c r="AI34" s="387">
        <v>0.14</v>
      </c>
      <c r="AJ34" s="387">
        <v>0</v>
      </c>
      <c r="AK34" s="387">
        <v>0.54</v>
      </c>
      <c r="AL34" s="387">
        <v>0</v>
      </c>
      <c r="AM34" s="387">
        <v>0</v>
      </c>
      <c r="AN34" s="39">
        <f t="shared" si="29"/>
        <v>0</v>
      </c>
      <c r="AP34" s="383">
        <f t="shared" si="52"/>
        <v>0.24</v>
      </c>
      <c r="AQ34" s="383">
        <f t="shared" si="53"/>
        <v>0.1</v>
      </c>
      <c r="AR34" s="383">
        <f t="shared" si="30"/>
        <v>0.3</v>
      </c>
      <c r="AS34" s="383">
        <f t="shared" si="31"/>
        <v>0.28</v>
      </c>
      <c r="AT34" s="383">
        <f t="shared" si="32"/>
        <v>0</v>
      </c>
      <c r="AU34" s="383">
        <f t="shared" si="33"/>
        <v>1.08</v>
      </c>
      <c r="AV34" s="383">
        <f t="shared" si="34"/>
        <v>0</v>
      </c>
      <c r="AW34" s="383">
        <f t="shared" si="35"/>
        <v>0</v>
      </c>
      <c r="AX34" s="58"/>
      <c r="AY34" s="383" t="s">
        <v>142</v>
      </c>
      <c r="AZ34" s="383">
        <v>426.42</v>
      </c>
      <c r="BA34" s="383">
        <f t="shared" si="36"/>
        <v>51.1704</v>
      </c>
      <c r="BB34" s="383">
        <f t="shared" si="37"/>
        <v>21.321</v>
      </c>
      <c r="BC34" s="383">
        <f t="shared" si="38"/>
        <v>63.963</v>
      </c>
      <c r="BD34" s="383">
        <f t="shared" si="39"/>
        <v>59.698800000000006</v>
      </c>
      <c r="BE34" s="383">
        <f t="shared" si="40"/>
        <v>0</v>
      </c>
      <c r="BF34" s="383">
        <f t="shared" si="41"/>
        <v>230.26680000000002</v>
      </c>
      <c r="BG34" s="383">
        <f t="shared" si="42"/>
        <v>0</v>
      </c>
      <c r="BH34" s="383">
        <f t="shared" si="43"/>
        <v>0</v>
      </c>
      <c r="BJ34" s="382" t="s">
        <v>142</v>
      </c>
      <c r="BK34" s="383">
        <v>228</v>
      </c>
      <c r="BL34" s="383">
        <f t="shared" si="44"/>
        <v>27.36</v>
      </c>
      <c r="BM34" s="383">
        <f t="shared" si="45"/>
        <v>11.4</v>
      </c>
      <c r="BN34" s="383">
        <f t="shared" si="46"/>
        <v>34.199999999999996</v>
      </c>
      <c r="BO34" s="383">
        <f t="shared" si="47"/>
        <v>31.92</v>
      </c>
      <c r="BP34" s="383">
        <f t="shared" si="48"/>
        <v>0</v>
      </c>
      <c r="BQ34" s="383">
        <f t="shared" si="49"/>
        <v>123.12</v>
      </c>
      <c r="BR34" s="383">
        <f t="shared" si="50"/>
        <v>0</v>
      </c>
      <c r="BS34" s="383">
        <f t="shared" si="51"/>
        <v>0</v>
      </c>
    </row>
    <row r="35" spans="1:71" ht="11.25">
      <c r="A35" s="60" t="e">
        <f>#REF!</f>
        <v>#REF!</v>
      </c>
      <c r="B35" s="405" t="s">
        <v>169</v>
      </c>
      <c r="C35" s="406" t="s">
        <v>141</v>
      </c>
      <c r="D35" s="382" t="s">
        <v>216</v>
      </c>
      <c r="E35" s="383">
        <f>IF(ISERROR(VLOOKUP(C35,'CA Level'!$B$7:$D$86,3,FALSE)),0,VLOOKUP(C35,'CA Level'!$B$7:$D$86,3,FALSE))</f>
        <v>104.96000000000001</v>
      </c>
      <c r="F35" s="383">
        <v>106.28899</v>
      </c>
      <c r="G35" s="397">
        <f t="shared" si="15"/>
        <v>1.3289899999999903</v>
      </c>
      <c r="H35" s="398">
        <f t="shared" si="16"/>
        <v>0.012661871189024298</v>
      </c>
      <c r="I35" s="417"/>
      <c r="J35" s="415"/>
      <c r="K35" s="46"/>
      <c r="L35" s="388" t="s">
        <v>13</v>
      </c>
      <c r="M35" s="389">
        <f aca="true" t="shared" si="54" ref="M35:T44">IF($L35=M$22,1,0)</f>
        <v>0</v>
      </c>
      <c r="N35" s="389">
        <f t="shared" si="54"/>
        <v>1</v>
      </c>
      <c r="O35" s="389">
        <f t="shared" si="54"/>
        <v>0</v>
      </c>
      <c r="P35" s="389">
        <f t="shared" si="54"/>
        <v>0</v>
      </c>
      <c r="Q35" s="389">
        <f t="shared" si="54"/>
        <v>0</v>
      </c>
      <c r="R35" s="389">
        <f t="shared" si="54"/>
        <v>0</v>
      </c>
      <c r="S35" s="389">
        <f t="shared" si="54"/>
        <v>0</v>
      </c>
      <c r="T35" s="389">
        <f t="shared" si="54"/>
        <v>0</v>
      </c>
      <c r="U35" s="39">
        <f t="shared" si="17"/>
        <v>0</v>
      </c>
      <c r="W35" s="383">
        <f t="shared" si="18"/>
        <v>0</v>
      </c>
      <c r="X35" s="383">
        <f t="shared" si="19"/>
        <v>104.96000000000001</v>
      </c>
      <c r="Y35" s="383">
        <f t="shared" si="20"/>
        <v>0</v>
      </c>
      <c r="Z35" s="383">
        <f t="shared" si="21"/>
        <v>0</v>
      </c>
      <c r="AA35" s="383">
        <f t="shared" si="22"/>
        <v>0</v>
      </c>
      <c r="AB35" s="383">
        <f t="shared" si="23"/>
        <v>0</v>
      </c>
      <c r="AC35" s="383">
        <f t="shared" si="24"/>
        <v>0</v>
      </c>
      <c r="AD35" s="383">
        <f t="shared" si="25"/>
        <v>0</v>
      </c>
      <c r="AE35" s="58"/>
      <c r="AF35" s="383"/>
      <c r="AG35" s="383"/>
      <c r="AH35" s="383"/>
      <c r="AI35" s="383"/>
      <c r="AJ35" s="383"/>
      <c r="AK35" s="383"/>
      <c r="AL35" s="383"/>
      <c r="AM35" s="383"/>
      <c r="AP35" s="383">
        <f>$F35*M35</f>
        <v>0</v>
      </c>
      <c r="AQ35" s="383">
        <f aca="true" t="shared" si="55" ref="AQ35:AQ49">$F35*N35</f>
        <v>106.28899</v>
      </c>
      <c r="AR35" s="383">
        <f aca="true" t="shared" si="56" ref="AR35:AR49">$F35*O35</f>
        <v>0</v>
      </c>
      <c r="AS35" s="383">
        <f aca="true" t="shared" si="57" ref="AS35:AS49">$F35*P35</f>
        <v>0</v>
      </c>
      <c r="AT35" s="383">
        <f aca="true" t="shared" si="58" ref="AT35:AT49">$F35*Q35</f>
        <v>0</v>
      </c>
      <c r="AU35" s="383">
        <f aca="true" t="shared" si="59" ref="AU35:AU49">$F35*R35</f>
        <v>0</v>
      </c>
      <c r="AV35" s="383">
        <f aca="true" t="shared" si="60" ref="AV35:AV49">$F35*S35</f>
        <v>0</v>
      </c>
      <c r="AW35" s="383">
        <f aca="true" t="shared" si="61" ref="AW35:AW49">$F35*T35</f>
        <v>0</v>
      </c>
      <c r="AX35" s="58"/>
      <c r="AY35" s="383" t="s">
        <v>141</v>
      </c>
      <c r="AZ35" s="383">
        <v>55</v>
      </c>
      <c r="BA35" s="383">
        <f aca="true" t="shared" si="62" ref="BA35:BA71">$AZ35*M35</f>
        <v>0</v>
      </c>
      <c r="BB35" s="383">
        <f aca="true" t="shared" si="63" ref="BB35:BB71">$AZ35*N35</f>
        <v>55</v>
      </c>
      <c r="BC35" s="383">
        <f aca="true" t="shared" si="64" ref="BC35:BC71">$AZ35*O35</f>
        <v>0</v>
      </c>
      <c r="BD35" s="383">
        <f aca="true" t="shared" si="65" ref="BD35:BD71">$AZ35*P35</f>
        <v>0</v>
      </c>
      <c r="BE35" s="383">
        <f aca="true" t="shared" si="66" ref="BE35:BE71">$AZ35*Q35</f>
        <v>0</v>
      </c>
      <c r="BF35" s="383">
        <f aca="true" t="shared" si="67" ref="BF35:BF71">$AZ35*R35</f>
        <v>0</v>
      </c>
      <c r="BG35" s="383">
        <f aca="true" t="shared" si="68" ref="BG35:BG71">$AZ35*S35</f>
        <v>0</v>
      </c>
      <c r="BH35" s="383">
        <f aca="true" t="shared" si="69" ref="BH35:BH71">$AZ35*T35</f>
        <v>0</v>
      </c>
      <c r="BJ35" s="382" t="s">
        <v>141</v>
      </c>
      <c r="BK35" s="383">
        <v>105</v>
      </c>
      <c r="BL35" s="383">
        <f aca="true" t="shared" si="70" ref="BL35:BL71">$BK35*M35</f>
        <v>0</v>
      </c>
      <c r="BM35" s="383">
        <f aca="true" t="shared" si="71" ref="BM35:BM71">$BK35*N35</f>
        <v>105</v>
      </c>
      <c r="BN35" s="383">
        <f aca="true" t="shared" si="72" ref="BN35:BN71">$BK35*O35</f>
        <v>0</v>
      </c>
      <c r="BO35" s="383">
        <f aca="true" t="shared" si="73" ref="BO35:BO71">$BK35*P35</f>
        <v>0</v>
      </c>
      <c r="BP35" s="383">
        <f aca="true" t="shared" si="74" ref="BP35:BP71">$BK35*Q35</f>
        <v>0</v>
      </c>
      <c r="BQ35" s="383">
        <f aca="true" t="shared" si="75" ref="BQ35:BQ71">$BK35*R35</f>
        <v>0</v>
      </c>
      <c r="BR35" s="383">
        <f aca="true" t="shared" si="76" ref="BR35:BR71">$BK35*S35</f>
        <v>0</v>
      </c>
      <c r="BS35" s="383">
        <f aca="true" t="shared" si="77" ref="BS35:BS71">$BK35*T35</f>
        <v>0</v>
      </c>
    </row>
    <row r="36" spans="1:71" ht="11.25">
      <c r="A36" s="60"/>
      <c r="B36" s="405"/>
      <c r="C36" s="406" t="s">
        <v>140</v>
      </c>
      <c r="D36" s="382" t="s">
        <v>215</v>
      </c>
      <c r="E36" s="383">
        <f>IF(ISERROR(VLOOKUP(C36,'CA Level'!$B$7:$D$86,3,FALSE)),0,VLOOKUP(C36,'CA Level'!$B$7:$D$86,3,FALSE))</f>
        <v>94.9</v>
      </c>
      <c r="F36" s="383">
        <v>184.56429999999997</v>
      </c>
      <c r="G36" s="397">
        <f t="shared" si="15"/>
        <v>89.66429999999997</v>
      </c>
      <c r="H36" s="398">
        <f t="shared" si="16"/>
        <v>0.9448292939936772</v>
      </c>
      <c r="I36" s="417"/>
      <c r="J36" s="415"/>
      <c r="K36" s="46"/>
      <c r="L36" s="388" t="s">
        <v>13</v>
      </c>
      <c r="M36" s="389">
        <f t="shared" si="54"/>
        <v>0</v>
      </c>
      <c r="N36" s="389">
        <f t="shared" si="54"/>
        <v>1</v>
      </c>
      <c r="O36" s="389">
        <f t="shared" si="54"/>
        <v>0</v>
      </c>
      <c r="P36" s="389">
        <f t="shared" si="54"/>
        <v>0</v>
      </c>
      <c r="Q36" s="389">
        <f t="shared" si="54"/>
        <v>0</v>
      </c>
      <c r="R36" s="389">
        <f t="shared" si="54"/>
        <v>0</v>
      </c>
      <c r="S36" s="389">
        <f t="shared" si="54"/>
        <v>0</v>
      </c>
      <c r="T36" s="389">
        <f t="shared" si="54"/>
        <v>0</v>
      </c>
      <c r="U36" s="39">
        <f t="shared" si="17"/>
        <v>0</v>
      </c>
      <c r="W36" s="383">
        <f t="shared" si="18"/>
        <v>0</v>
      </c>
      <c r="X36" s="383">
        <f t="shared" si="19"/>
        <v>94.9</v>
      </c>
      <c r="Y36" s="383">
        <f t="shared" si="20"/>
        <v>0</v>
      </c>
      <c r="Z36" s="383">
        <f t="shared" si="21"/>
        <v>0</v>
      </c>
      <c r="AA36" s="383">
        <f t="shared" si="22"/>
        <v>0</v>
      </c>
      <c r="AB36" s="383">
        <f t="shared" si="23"/>
        <v>0</v>
      </c>
      <c r="AC36" s="383">
        <f t="shared" si="24"/>
        <v>0</v>
      </c>
      <c r="AD36" s="383">
        <f t="shared" si="25"/>
        <v>0</v>
      </c>
      <c r="AE36" s="58"/>
      <c r="AF36" s="383"/>
      <c r="AG36" s="383"/>
      <c r="AH36" s="383"/>
      <c r="AI36" s="383"/>
      <c r="AJ36" s="383"/>
      <c r="AK36" s="383"/>
      <c r="AL36" s="383"/>
      <c r="AM36" s="383"/>
      <c r="AP36" s="383">
        <f aca="true" t="shared" si="78" ref="AP36:AP49">$F36*M36</f>
        <v>0</v>
      </c>
      <c r="AQ36" s="383">
        <f t="shared" si="55"/>
        <v>184.56429999999997</v>
      </c>
      <c r="AR36" s="383">
        <f t="shared" si="56"/>
        <v>0</v>
      </c>
      <c r="AS36" s="383">
        <f t="shared" si="57"/>
        <v>0</v>
      </c>
      <c r="AT36" s="383">
        <f t="shared" si="58"/>
        <v>0</v>
      </c>
      <c r="AU36" s="383">
        <f t="shared" si="59"/>
        <v>0</v>
      </c>
      <c r="AV36" s="383">
        <f t="shared" si="60"/>
        <v>0</v>
      </c>
      <c r="AW36" s="383">
        <f t="shared" si="61"/>
        <v>0</v>
      </c>
      <c r="AX36" s="58"/>
      <c r="AY36" s="383" t="s">
        <v>140</v>
      </c>
      <c r="AZ36" s="383">
        <v>93</v>
      </c>
      <c r="BA36" s="383">
        <f t="shared" si="62"/>
        <v>0</v>
      </c>
      <c r="BB36" s="383">
        <f t="shared" si="63"/>
        <v>93</v>
      </c>
      <c r="BC36" s="383">
        <f t="shared" si="64"/>
        <v>0</v>
      </c>
      <c r="BD36" s="383">
        <f t="shared" si="65"/>
        <v>0</v>
      </c>
      <c r="BE36" s="383">
        <f t="shared" si="66"/>
        <v>0</v>
      </c>
      <c r="BF36" s="383">
        <f t="shared" si="67"/>
        <v>0</v>
      </c>
      <c r="BG36" s="383">
        <f t="shared" si="68"/>
        <v>0</v>
      </c>
      <c r="BH36" s="383">
        <f t="shared" si="69"/>
        <v>0</v>
      </c>
      <c r="BJ36" s="382" t="s">
        <v>140</v>
      </c>
      <c r="BK36" s="383">
        <v>133</v>
      </c>
      <c r="BL36" s="383">
        <f t="shared" si="70"/>
        <v>0</v>
      </c>
      <c r="BM36" s="383">
        <f t="shared" si="71"/>
        <v>133</v>
      </c>
      <c r="BN36" s="383">
        <f t="shared" si="72"/>
        <v>0</v>
      </c>
      <c r="BO36" s="383">
        <f t="shared" si="73"/>
        <v>0</v>
      </c>
      <c r="BP36" s="383">
        <f t="shared" si="74"/>
        <v>0</v>
      </c>
      <c r="BQ36" s="383">
        <f t="shared" si="75"/>
        <v>0</v>
      </c>
      <c r="BR36" s="383">
        <f t="shared" si="76"/>
        <v>0</v>
      </c>
      <c r="BS36" s="383">
        <f t="shared" si="77"/>
        <v>0</v>
      </c>
    </row>
    <row r="37" spans="1:71" ht="11.25">
      <c r="A37" s="60"/>
      <c r="B37" s="405"/>
      <c r="C37" s="406" t="s">
        <v>139</v>
      </c>
      <c r="D37" s="382" t="s">
        <v>242</v>
      </c>
      <c r="E37" s="383">
        <f>IF(ISERROR(VLOOKUP(C37,'CA Level'!$B$7:$D$86,3,FALSE)),0,VLOOKUP(C37,'CA Level'!$B$7:$D$86,3,FALSE))</f>
        <v>36.52</v>
      </c>
      <c r="F37" s="383">
        <v>82.53523</v>
      </c>
      <c r="G37" s="397">
        <f t="shared" si="15"/>
        <v>46.015229999999995</v>
      </c>
      <c r="H37" s="398">
        <f t="shared" si="16"/>
        <v>1.2600008214676888</v>
      </c>
      <c r="I37" s="417"/>
      <c r="J37" s="415"/>
      <c r="K37" s="46"/>
      <c r="L37" s="388" t="s">
        <v>6</v>
      </c>
      <c r="M37" s="389">
        <f t="shared" si="54"/>
        <v>1</v>
      </c>
      <c r="N37" s="389">
        <f t="shared" si="54"/>
        <v>0</v>
      </c>
      <c r="O37" s="389">
        <f t="shared" si="54"/>
        <v>0</v>
      </c>
      <c r="P37" s="389">
        <f t="shared" si="54"/>
        <v>0</v>
      </c>
      <c r="Q37" s="389">
        <f t="shared" si="54"/>
        <v>0</v>
      </c>
      <c r="R37" s="389">
        <f t="shared" si="54"/>
        <v>0</v>
      </c>
      <c r="S37" s="389">
        <f t="shared" si="54"/>
        <v>0</v>
      </c>
      <c r="T37" s="389">
        <f t="shared" si="54"/>
        <v>0</v>
      </c>
      <c r="U37" s="39">
        <f t="shared" si="17"/>
        <v>0</v>
      </c>
      <c r="W37" s="383">
        <f t="shared" si="18"/>
        <v>36.52</v>
      </c>
      <c r="X37" s="383">
        <f t="shared" si="19"/>
        <v>0</v>
      </c>
      <c r="Y37" s="383">
        <f t="shared" si="20"/>
        <v>0</v>
      </c>
      <c r="Z37" s="383">
        <f t="shared" si="21"/>
        <v>0</v>
      </c>
      <c r="AA37" s="383">
        <f t="shared" si="22"/>
        <v>0</v>
      </c>
      <c r="AB37" s="383">
        <f t="shared" si="23"/>
        <v>0</v>
      </c>
      <c r="AC37" s="383">
        <f t="shared" si="24"/>
        <v>0</v>
      </c>
      <c r="AD37" s="383">
        <f t="shared" si="25"/>
        <v>0</v>
      </c>
      <c r="AE37" s="58"/>
      <c r="AF37" s="383"/>
      <c r="AG37" s="383"/>
      <c r="AH37" s="383"/>
      <c r="AI37" s="383"/>
      <c r="AJ37" s="383"/>
      <c r="AK37" s="383"/>
      <c r="AL37" s="383"/>
      <c r="AM37" s="383"/>
      <c r="AP37" s="383">
        <f t="shared" si="78"/>
        <v>82.53523</v>
      </c>
      <c r="AQ37" s="383">
        <f t="shared" si="55"/>
        <v>0</v>
      </c>
      <c r="AR37" s="383">
        <f t="shared" si="56"/>
        <v>0</v>
      </c>
      <c r="AS37" s="383">
        <f t="shared" si="57"/>
        <v>0</v>
      </c>
      <c r="AT37" s="383">
        <f t="shared" si="58"/>
        <v>0</v>
      </c>
      <c r="AU37" s="383">
        <f t="shared" si="59"/>
        <v>0</v>
      </c>
      <c r="AV37" s="383">
        <f t="shared" si="60"/>
        <v>0</v>
      </c>
      <c r="AW37" s="383">
        <f t="shared" si="61"/>
        <v>0</v>
      </c>
      <c r="AX37" s="58"/>
      <c r="AY37" s="383" t="s">
        <v>139</v>
      </c>
      <c r="AZ37" s="383">
        <v>140</v>
      </c>
      <c r="BA37" s="383">
        <f t="shared" si="62"/>
        <v>140</v>
      </c>
      <c r="BB37" s="383">
        <f t="shared" si="63"/>
        <v>0</v>
      </c>
      <c r="BC37" s="383">
        <f t="shared" si="64"/>
        <v>0</v>
      </c>
      <c r="BD37" s="383">
        <f t="shared" si="65"/>
        <v>0</v>
      </c>
      <c r="BE37" s="383">
        <f t="shared" si="66"/>
        <v>0</v>
      </c>
      <c r="BF37" s="383">
        <f t="shared" si="67"/>
        <v>0</v>
      </c>
      <c r="BG37" s="383">
        <f t="shared" si="68"/>
        <v>0</v>
      </c>
      <c r="BH37" s="383">
        <f t="shared" si="69"/>
        <v>0</v>
      </c>
      <c r="BJ37" s="382" t="s">
        <v>139</v>
      </c>
      <c r="BK37" s="383">
        <v>73</v>
      </c>
      <c r="BL37" s="383">
        <f t="shared" si="70"/>
        <v>73</v>
      </c>
      <c r="BM37" s="383">
        <f t="shared" si="71"/>
        <v>0</v>
      </c>
      <c r="BN37" s="383">
        <f t="shared" si="72"/>
        <v>0</v>
      </c>
      <c r="BO37" s="383">
        <f t="shared" si="73"/>
        <v>0</v>
      </c>
      <c r="BP37" s="383">
        <f t="shared" si="74"/>
        <v>0</v>
      </c>
      <c r="BQ37" s="383">
        <f t="shared" si="75"/>
        <v>0</v>
      </c>
      <c r="BR37" s="383">
        <f t="shared" si="76"/>
        <v>0</v>
      </c>
      <c r="BS37" s="383">
        <f t="shared" si="77"/>
        <v>0</v>
      </c>
    </row>
    <row r="38" spans="1:71" ht="11.25">
      <c r="A38" s="60"/>
      <c r="B38" s="405"/>
      <c r="C38" s="406" t="s">
        <v>138</v>
      </c>
      <c r="D38" s="382" t="s">
        <v>241</v>
      </c>
      <c r="E38" s="383">
        <f>IF(ISERROR(VLOOKUP(C38,'CA Level'!$B$7:$D$86,3,FALSE)),0,VLOOKUP(C38,'CA Level'!$B$7:$D$86,3,FALSE))</f>
        <v>12.5</v>
      </c>
      <c r="F38" s="383">
        <v>103.21302</v>
      </c>
      <c r="G38" s="397">
        <f t="shared" si="15"/>
        <v>90.71302</v>
      </c>
      <c r="H38" s="398">
        <f t="shared" si="16"/>
        <v>7.2570416</v>
      </c>
      <c r="I38" s="417"/>
      <c r="J38" s="415"/>
      <c r="K38" s="46"/>
      <c r="L38" s="388" t="s">
        <v>6</v>
      </c>
      <c r="M38" s="389">
        <f t="shared" si="54"/>
        <v>1</v>
      </c>
      <c r="N38" s="389">
        <f t="shared" si="54"/>
        <v>0</v>
      </c>
      <c r="O38" s="389">
        <f t="shared" si="54"/>
        <v>0</v>
      </c>
      <c r="P38" s="389">
        <f t="shared" si="54"/>
        <v>0</v>
      </c>
      <c r="Q38" s="389">
        <f t="shared" si="54"/>
        <v>0</v>
      </c>
      <c r="R38" s="389">
        <f t="shared" si="54"/>
        <v>0</v>
      </c>
      <c r="S38" s="389">
        <f t="shared" si="54"/>
        <v>0</v>
      </c>
      <c r="T38" s="389">
        <f t="shared" si="54"/>
        <v>0</v>
      </c>
      <c r="U38" s="39">
        <f t="shared" si="17"/>
        <v>0</v>
      </c>
      <c r="W38" s="383">
        <f t="shared" si="18"/>
        <v>12.5</v>
      </c>
      <c r="X38" s="383">
        <f t="shared" si="19"/>
        <v>0</v>
      </c>
      <c r="Y38" s="383">
        <f t="shared" si="20"/>
        <v>0</v>
      </c>
      <c r="Z38" s="383">
        <f t="shared" si="21"/>
        <v>0</v>
      </c>
      <c r="AA38" s="383">
        <f t="shared" si="22"/>
        <v>0</v>
      </c>
      <c r="AB38" s="383">
        <f t="shared" si="23"/>
        <v>0</v>
      </c>
      <c r="AC38" s="383">
        <f t="shared" si="24"/>
        <v>0</v>
      </c>
      <c r="AD38" s="383">
        <f t="shared" si="25"/>
        <v>0</v>
      </c>
      <c r="AE38" s="58"/>
      <c r="AF38" s="383"/>
      <c r="AG38" s="383"/>
      <c r="AH38" s="383"/>
      <c r="AI38" s="383"/>
      <c r="AJ38" s="383"/>
      <c r="AK38" s="383"/>
      <c r="AL38" s="383"/>
      <c r="AM38" s="383"/>
      <c r="AP38" s="383">
        <f t="shared" si="78"/>
        <v>103.21302</v>
      </c>
      <c r="AQ38" s="383">
        <f t="shared" si="55"/>
        <v>0</v>
      </c>
      <c r="AR38" s="383">
        <f t="shared" si="56"/>
        <v>0</v>
      </c>
      <c r="AS38" s="383">
        <f t="shared" si="57"/>
        <v>0</v>
      </c>
      <c r="AT38" s="383">
        <f t="shared" si="58"/>
        <v>0</v>
      </c>
      <c r="AU38" s="383">
        <f t="shared" si="59"/>
        <v>0</v>
      </c>
      <c r="AV38" s="383">
        <f t="shared" si="60"/>
        <v>0</v>
      </c>
      <c r="AW38" s="383">
        <f t="shared" si="61"/>
        <v>0</v>
      </c>
      <c r="AX38" s="58"/>
      <c r="AY38" s="383" t="s">
        <v>138</v>
      </c>
      <c r="AZ38" s="383">
        <v>69.9</v>
      </c>
      <c r="BA38" s="383">
        <f t="shared" si="62"/>
        <v>69.9</v>
      </c>
      <c r="BB38" s="383">
        <f t="shared" si="63"/>
        <v>0</v>
      </c>
      <c r="BC38" s="383">
        <f t="shared" si="64"/>
        <v>0</v>
      </c>
      <c r="BD38" s="383">
        <f t="shared" si="65"/>
        <v>0</v>
      </c>
      <c r="BE38" s="383">
        <f t="shared" si="66"/>
        <v>0</v>
      </c>
      <c r="BF38" s="383">
        <f t="shared" si="67"/>
        <v>0</v>
      </c>
      <c r="BG38" s="383">
        <f t="shared" si="68"/>
        <v>0</v>
      </c>
      <c r="BH38" s="383">
        <f t="shared" si="69"/>
        <v>0</v>
      </c>
      <c r="BJ38" s="382" t="s">
        <v>138</v>
      </c>
      <c r="BK38" s="383">
        <v>109</v>
      </c>
      <c r="BL38" s="383">
        <f t="shared" si="70"/>
        <v>109</v>
      </c>
      <c r="BM38" s="383">
        <f t="shared" si="71"/>
        <v>0</v>
      </c>
      <c r="BN38" s="383">
        <f t="shared" si="72"/>
        <v>0</v>
      </c>
      <c r="BO38" s="383">
        <f t="shared" si="73"/>
        <v>0</v>
      </c>
      <c r="BP38" s="383">
        <f t="shared" si="74"/>
        <v>0</v>
      </c>
      <c r="BQ38" s="383">
        <f t="shared" si="75"/>
        <v>0</v>
      </c>
      <c r="BR38" s="383">
        <f t="shared" si="76"/>
        <v>0</v>
      </c>
      <c r="BS38" s="383">
        <f t="shared" si="77"/>
        <v>0</v>
      </c>
    </row>
    <row r="39" spans="1:71" ht="11.25">
      <c r="A39" s="60"/>
      <c r="B39" s="405"/>
      <c r="C39" s="406" t="s">
        <v>137</v>
      </c>
      <c r="D39" s="382" t="s">
        <v>240</v>
      </c>
      <c r="E39" s="383">
        <f>IF(ISERROR(VLOOKUP(C39,'CA Level'!$B$7:$D$86,3,FALSE)),0,VLOOKUP(C39,'CA Level'!$B$7:$D$86,3,FALSE))+'CA Level'!D33</f>
        <v>66.47999999999999</v>
      </c>
      <c r="F39" s="383">
        <v>263.42654</v>
      </c>
      <c r="G39" s="397">
        <f t="shared" si="15"/>
        <v>196.94654</v>
      </c>
      <c r="H39" s="398">
        <f t="shared" si="16"/>
        <v>2.9624930806257526</v>
      </c>
      <c r="I39" s="417"/>
      <c r="J39" s="415"/>
      <c r="K39" s="46"/>
      <c r="L39" s="388" t="s">
        <v>6</v>
      </c>
      <c r="M39" s="389">
        <f t="shared" si="54"/>
        <v>1</v>
      </c>
      <c r="N39" s="389">
        <f t="shared" si="54"/>
        <v>0</v>
      </c>
      <c r="O39" s="389">
        <f t="shared" si="54"/>
        <v>0</v>
      </c>
      <c r="P39" s="389">
        <f t="shared" si="54"/>
        <v>0</v>
      </c>
      <c r="Q39" s="389">
        <f t="shared" si="54"/>
        <v>0</v>
      </c>
      <c r="R39" s="389">
        <f t="shared" si="54"/>
        <v>0</v>
      </c>
      <c r="S39" s="389">
        <f t="shared" si="54"/>
        <v>0</v>
      </c>
      <c r="T39" s="389">
        <f t="shared" si="54"/>
        <v>0</v>
      </c>
      <c r="U39" s="39">
        <f t="shared" si="17"/>
        <v>0</v>
      </c>
      <c r="W39" s="383">
        <f t="shared" si="18"/>
        <v>66.47999999999999</v>
      </c>
      <c r="X39" s="383">
        <f t="shared" si="19"/>
        <v>0</v>
      </c>
      <c r="Y39" s="383">
        <f t="shared" si="20"/>
        <v>0</v>
      </c>
      <c r="Z39" s="383">
        <f t="shared" si="21"/>
        <v>0</v>
      </c>
      <c r="AA39" s="383">
        <f t="shared" si="22"/>
        <v>0</v>
      </c>
      <c r="AB39" s="383">
        <f t="shared" si="23"/>
        <v>0</v>
      </c>
      <c r="AC39" s="383">
        <f t="shared" si="24"/>
        <v>0</v>
      </c>
      <c r="AD39" s="383">
        <f t="shared" si="25"/>
        <v>0</v>
      </c>
      <c r="AE39" s="58"/>
      <c r="AF39" s="383"/>
      <c r="AG39" s="383"/>
      <c r="AH39" s="383"/>
      <c r="AI39" s="383"/>
      <c r="AJ39" s="383"/>
      <c r="AK39" s="383"/>
      <c r="AL39" s="383"/>
      <c r="AM39" s="383"/>
      <c r="AP39" s="383">
        <f t="shared" si="78"/>
        <v>263.42654</v>
      </c>
      <c r="AQ39" s="383">
        <f t="shared" si="55"/>
        <v>0</v>
      </c>
      <c r="AR39" s="383">
        <f t="shared" si="56"/>
        <v>0</v>
      </c>
      <c r="AS39" s="383">
        <f t="shared" si="57"/>
        <v>0</v>
      </c>
      <c r="AT39" s="383">
        <f t="shared" si="58"/>
        <v>0</v>
      </c>
      <c r="AU39" s="383">
        <f t="shared" si="59"/>
        <v>0</v>
      </c>
      <c r="AV39" s="383">
        <f t="shared" si="60"/>
        <v>0</v>
      </c>
      <c r="AW39" s="383">
        <f t="shared" si="61"/>
        <v>0</v>
      </c>
      <c r="AX39" s="58"/>
      <c r="AY39" s="383" t="s">
        <v>137</v>
      </c>
      <c r="AZ39" s="383">
        <v>95</v>
      </c>
      <c r="BA39" s="383">
        <f t="shared" si="62"/>
        <v>95</v>
      </c>
      <c r="BB39" s="383">
        <f t="shared" si="63"/>
        <v>0</v>
      </c>
      <c r="BC39" s="383">
        <f t="shared" si="64"/>
        <v>0</v>
      </c>
      <c r="BD39" s="383">
        <f t="shared" si="65"/>
        <v>0</v>
      </c>
      <c r="BE39" s="383">
        <f t="shared" si="66"/>
        <v>0</v>
      </c>
      <c r="BF39" s="383">
        <f t="shared" si="67"/>
        <v>0</v>
      </c>
      <c r="BG39" s="383">
        <f t="shared" si="68"/>
        <v>0</v>
      </c>
      <c r="BH39" s="383">
        <f t="shared" si="69"/>
        <v>0</v>
      </c>
      <c r="BJ39" s="382" t="s">
        <v>137</v>
      </c>
      <c r="BK39" s="383">
        <v>206</v>
      </c>
      <c r="BL39" s="383">
        <f t="shared" si="70"/>
        <v>206</v>
      </c>
      <c r="BM39" s="383">
        <f t="shared" si="71"/>
        <v>0</v>
      </c>
      <c r="BN39" s="383">
        <f t="shared" si="72"/>
        <v>0</v>
      </c>
      <c r="BO39" s="383">
        <f t="shared" si="73"/>
        <v>0</v>
      </c>
      <c r="BP39" s="383">
        <f t="shared" si="74"/>
        <v>0</v>
      </c>
      <c r="BQ39" s="383">
        <f t="shared" si="75"/>
        <v>0</v>
      </c>
      <c r="BR39" s="383">
        <f t="shared" si="76"/>
        <v>0</v>
      </c>
      <c r="BS39" s="383">
        <f t="shared" si="77"/>
        <v>0</v>
      </c>
    </row>
    <row r="40" spans="1:71" ht="11.25">
      <c r="A40" s="60"/>
      <c r="B40" s="405"/>
      <c r="C40" s="406" t="s">
        <v>136</v>
      </c>
      <c r="D40" s="382" t="s">
        <v>239</v>
      </c>
      <c r="E40" s="383">
        <f>IF(ISERROR(VLOOKUP(C40,'CA Level'!$B$7:$D$86,3,FALSE)),0,VLOOKUP(C40,'CA Level'!$B$7:$D$86,3,FALSE))</f>
        <v>101.31</v>
      </c>
      <c r="F40" s="383">
        <v>167.80647</v>
      </c>
      <c r="G40" s="397">
        <f t="shared" si="15"/>
        <v>66.49646999999999</v>
      </c>
      <c r="H40" s="398">
        <f t="shared" si="16"/>
        <v>0.6563663014509918</v>
      </c>
      <c r="I40" s="417"/>
      <c r="J40" s="415"/>
      <c r="K40" s="46"/>
      <c r="L40" s="388" t="s">
        <v>6</v>
      </c>
      <c r="M40" s="389">
        <f t="shared" si="54"/>
        <v>1</v>
      </c>
      <c r="N40" s="389">
        <f t="shared" si="54"/>
        <v>0</v>
      </c>
      <c r="O40" s="389">
        <f t="shared" si="54"/>
        <v>0</v>
      </c>
      <c r="P40" s="389">
        <f t="shared" si="54"/>
        <v>0</v>
      </c>
      <c r="Q40" s="389">
        <f t="shared" si="54"/>
        <v>0</v>
      </c>
      <c r="R40" s="389">
        <f t="shared" si="54"/>
        <v>0</v>
      </c>
      <c r="S40" s="389">
        <f t="shared" si="54"/>
        <v>0</v>
      </c>
      <c r="T40" s="389">
        <f t="shared" si="54"/>
        <v>0</v>
      </c>
      <c r="U40" s="39">
        <f t="shared" si="17"/>
        <v>0</v>
      </c>
      <c r="W40" s="383">
        <f t="shared" si="18"/>
        <v>101.31</v>
      </c>
      <c r="X40" s="383">
        <f t="shared" si="19"/>
        <v>0</v>
      </c>
      <c r="Y40" s="383">
        <f t="shared" si="20"/>
        <v>0</v>
      </c>
      <c r="Z40" s="383">
        <f t="shared" si="21"/>
        <v>0</v>
      </c>
      <c r="AA40" s="383">
        <f t="shared" si="22"/>
        <v>0</v>
      </c>
      <c r="AB40" s="383">
        <f t="shared" si="23"/>
        <v>0</v>
      </c>
      <c r="AC40" s="383">
        <f t="shared" si="24"/>
        <v>0</v>
      </c>
      <c r="AD40" s="383">
        <f t="shared" si="25"/>
        <v>0</v>
      </c>
      <c r="AE40" s="58"/>
      <c r="AF40" s="383"/>
      <c r="AG40" s="383"/>
      <c r="AH40" s="383"/>
      <c r="AI40" s="383"/>
      <c r="AJ40" s="383"/>
      <c r="AK40" s="383"/>
      <c r="AL40" s="383"/>
      <c r="AM40" s="383"/>
      <c r="AP40" s="383">
        <f t="shared" si="78"/>
        <v>167.80647</v>
      </c>
      <c r="AQ40" s="383">
        <f t="shared" si="55"/>
        <v>0</v>
      </c>
      <c r="AR40" s="383">
        <f t="shared" si="56"/>
        <v>0</v>
      </c>
      <c r="AS40" s="383">
        <f t="shared" si="57"/>
        <v>0</v>
      </c>
      <c r="AT40" s="383">
        <f t="shared" si="58"/>
        <v>0</v>
      </c>
      <c r="AU40" s="383">
        <f t="shared" si="59"/>
        <v>0</v>
      </c>
      <c r="AV40" s="383">
        <f t="shared" si="60"/>
        <v>0</v>
      </c>
      <c r="AW40" s="383">
        <f t="shared" si="61"/>
        <v>0</v>
      </c>
      <c r="AX40" s="58"/>
      <c r="AY40" s="383" t="s">
        <v>136</v>
      </c>
      <c r="AZ40" s="383">
        <v>135.2</v>
      </c>
      <c r="BA40" s="383">
        <f t="shared" si="62"/>
        <v>135.2</v>
      </c>
      <c r="BB40" s="383">
        <f t="shared" si="63"/>
        <v>0</v>
      </c>
      <c r="BC40" s="383">
        <f t="shared" si="64"/>
        <v>0</v>
      </c>
      <c r="BD40" s="383">
        <f t="shared" si="65"/>
        <v>0</v>
      </c>
      <c r="BE40" s="383">
        <f t="shared" si="66"/>
        <v>0</v>
      </c>
      <c r="BF40" s="383">
        <f t="shared" si="67"/>
        <v>0</v>
      </c>
      <c r="BG40" s="383">
        <f t="shared" si="68"/>
        <v>0</v>
      </c>
      <c r="BH40" s="383">
        <f t="shared" si="69"/>
        <v>0</v>
      </c>
      <c r="BJ40" s="382" t="s">
        <v>136</v>
      </c>
      <c r="BK40" s="383">
        <v>165</v>
      </c>
      <c r="BL40" s="383">
        <f t="shared" si="70"/>
        <v>165</v>
      </c>
      <c r="BM40" s="383">
        <f t="shared" si="71"/>
        <v>0</v>
      </c>
      <c r="BN40" s="383">
        <f t="shared" si="72"/>
        <v>0</v>
      </c>
      <c r="BO40" s="383">
        <f t="shared" si="73"/>
        <v>0</v>
      </c>
      <c r="BP40" s="383">
        <f t="shared" si="74"/>
        <v>0</v>
      </c>
      <c r="BQ40" s="383">
        <f t="shared" si="75"/>
        <v>0</v>
      </c>
      <c r="BR40" s="383">
        <f t="shared" si="76"/>
        <v>0</v>
      </c>
      <c r="BS40" s="383">
        <f t="shared" si="77"/>
        <v>0</v>
      </c>
    </row>
    <row r="41" spans="1:71" ht="11.25">
      <c r="A41" s="60"/>
      <c r="B41" s="405"/>
      <c r="C41" s="406" t="s">
        <v>135</v>
      </c>
      <c r="D41" s="382" t="s">
        <v>238</v>
      </c>
      <c r="E41" s="383">
        <f>IF(ISERROR(VLOOKUP(C41,'CA Level'!$B$7:$D$86,3,FALSE)),0,VLOOKUP(C41,'CA Level'!$B$7:$D$86,3,FALSE))</f>
        <v>157.3</v>
      </c>
      <c r="F41" s="383">
        <v>105.45277</v>
      </c>
      <c r="G41" s="397">
        <f t="shared" si="15"/>
        <v>-51.84723000000001</v>
      </c>
      <c r="H41" s="398">
        <f t="shared" si="16"/>
        <v>-0.3296073108709473</v>
      </c>
      <c r="I41" s="417"/>
      <c r="J41" s="415"/>
      <c r="K41" s="46"/>
      <c r="L41" s="388" t="s">
        <v>17</v>
      </c>
      <c r="M41" s="389">
        <f t="shared" si="54"/>
        <v>0</v>
      </c>
      <c r="N41" s="389">
        <f t="shared" si="54"/>
        <v>0</v>
      </c>
      <c r="O41" s="389">
        <f t="shared" si="54"/>
        <v>1</v>
      </c>
      <c r="P41" s="389">
        <f t="shared" si="54"/>
        <v>0</v>
      </c>
      <c r="Q41" s="389">
        <f t="shared" si="54"/>
        <v>0</v>
      </c>
      <c r="R41" s="389">
        <f t="shared" si="54"/>
        <v>0</v>
      </c>
      <c r="S41" s="389">
        <f t="shared" si="54"/>
        <v>0</v>
      </c>
      <c r="T41" s="389">
        <f t="shared" si="54"/>
        <v>0</v>
      </c>
      <c r="U41" s="39">
        <f t="shared" si="17"/>
        <v>0</v>
      </c>
      <c r="W41" s="383">
        <f t="shared" si="18"/>
        <v>0</v>
      </c>
      <c r="X41" s="383">
        <f t="shared" si="19"/>
        <v>0</v>
      </c>
      <c r="Y41" s="383">
        <f t="shared" si="20"/>
        <v>157.3</v>
      </c>
      <c r="Z41" s="383">
        <f t="shared" si="21"/>
        <v>0</v>
      </c>
      <c r="AA41" s="383">
        <f t="shared" si="22"/>
        <v>0</v>
      </c>
      <c r="AB41" s="383">
        <f t="shared" si="23"/>
        <v>0</v>
      </c>
      <c r="AC41" s="383">
        <f t="shared" si="24"/>
        <v>0</v>
      </c>
      <c r="AD41" s="383">
        <f t="shared" si="25"/>
        <v>0</v>
      </c>
      <c r="AE41" s="58"/>
      <c r="AF41" s="383"/>
      <c r="AG41" s="383"/>
      <c r="AH41" s="383"/>
      <c r="AI41" s="383"/>
      <c r="AJ41" s="383"/>
      <c r="AK41" s="383"/>
      <c r="AL41" s="383"/>
      <c r="AM41" s="383"/>
      <c r="AP41" s="383">
        <f t="shared" si="78"/>
        <v>0</v>
      </c>
      <c r="AQ41" s="383">
        <f t="shared" si="55"/>
        <v>0</v>
      </c>
      <c r="AR41" s="383">
        <f t="shared" si="56"/>
        <v>105.45277</v>
      </c>
      <c r="AS41" s="383">
        <f t="shared" si="57"/>
        <v>0</v>
      </c>
      <c r="AT41" s="383">
        <f t="shared" si="58"/>
        <v>0</v>
      </c>
      <c r="AU41" s="383">
        <f t="shared" si="59"/>
        <v>0</v>
      </c>
      <c r="AV41" s="383">
        <f t="shared" si="60"/>
        <v>0</v>
      </c>
      <c r="AW41" s="383">
        <f t="shared" si="61"/>
        <v>0</v>
      </c>
      <c r="AX41" s="58"/>
      <c r="AY41" s="383" t="s">
        <v>135</v>
      </c>
      <c r="AZ41" s="383">
        <v>157.3</v>
      </c>
      <c r="BA41" s="383">
        <f t="shared" si="62"/>
        <v>0</v>
      </c>
      <c r="BB41" s="383">
        <f t="shared" si="63"/>
        <v>0</v>
      </c>
      <c r="BC41" s="383">
        <f t="shared" si="64"/>
        <v>157.3</v>
      </c>
      <c r="BD41" s="383">
        <f t="shared" si="65"/>
        <v>0</v>
      </c>
      <c r="BE41" s="383">
        <f t="shared" si="66"/>
        <v>0</v>
      </c>
      <c r="BF41" s="383">
        <f t="shared" si="67"/>
        <v>0</v>
      </c>
      <c r="BG41" s="383">
        <f t="shared" si="68"/>
        <v>0</v>
      </c>
      <c r="BH41" s="383">
        <f t="shared" si="69"/>
        <v>0</v>
      </c>
      <c r="BJ41" s="382" t="s">
        <v>135</v>
      </c>
      <c r="BK41" s="383">
        <v>41</v>
      </c>
      <c r="BL41" s="383">
        <f t="shared" si="70"/>
        <v>0</v>
      </c>
      <c r="BM41" s="383">
        <f t="shared" si="71"/>
        <v>0</v>
      </c>
      <c r="BN41" s="383">
        <f t="shared" si="72"/>
        <v>41</v>
      </c>
      <c r="BO41" s="383">
        <f t="shared" si="73"/>
        <v>0</v>
      </c>
      <c r="BP41" s="383">
        <f t="shared" si="74"/>
        <v>0</v>
      </c>
      <c r="BQ41" s="383">
        <f t="shared" si="75"/>
        <v>0</v>
      </c>
      <c r="BR41" s="383">
        <f t="shared" si="76"/>
        <v>0</v>
      </c>
      <c r="BS41" s="383">
        <f t="shared" si="77"/>
        <v>0</v>
      </c>
    </row>
    <row r="42" spans="1:71" ht="11.25">
      <c r="A42" s="60"/>
      <c r="B42" s="405"/>
      <c r="C42" s="406" t="s">
        <v>134</v>
      </c>
      <c r="D42" s="382" t="s">
        <v>237</v>
      </c>
      <c r="E42" s="383">
        <f>IF(ISERROR(VLOOKUP(C42,'CA Level'!$B$7:$D$86,3,FALSE)),0,VLOOKUP(C42,'CA Level'!$B$7:$D$86,3,FALSE))</f>
        <v>225</v>
      </c>
      <c r="F42" s="383">
        <v>328.50875</v>
      </c>
      <c r="G42" s="397">
        <f t="shared" si="15"/>
        <v>103.50875000000002</v>
      </c>
      <c r="H42" s="398">
        <f t="shared" si="16"/>
        <v>0.460038888888889</v>
      </c>
      <c r="I42" s="417"/>
      <c r="J42" s="415"/>
      <c r="K42" s="46"/>
      <c r="L42" s="388" t="s">
        <v>17</v>
      </c>
      <c r="M42" s="389">
        <f t="shared" si="54"/>
        <v>0</v>
      </c>
      <c r="N42" s="389">
        <f t="shared" si="54"/>
        <v>0</v>
      </c>
      <c r="O42" s="389">
        <f t="shared" si="54"/>
        <v>1</v>
      </c>
      <c r="P42" s="389">
        <f t="shared" si="54"/>
        <v>0</v>
      </c>
      <c r="Q42" s="389">
        <f t="shared" si="54"/>
        <v>0</v>
      </c>
      <c r="R42" s="389">
        <f t="shared" si="54"/>
        <v>0</v>
      </c>
      <c r="S42" s="389">
        <f t="shared" si="54"/>
        <v>0</v>
      </c>
      <c r="T42" s="389">
        <f t="shared" si="54"/>
        <v>0</v>
      </c>
      <c r="U42" s="39">
        <f t="shared" si="17"/>
        <v>0</v>
      </c>
      <c r="W42" s="383">
        <f t="shared" si="18"/>
        <v>0</v>
      </c>
      <c r="X42" s="383">
        <f t="shared" si="19"/>
        <v>0</v>
      </c>
      <c r="Y42" s="383">
        <f t="shared" si="20"/>
        <v>225</v>
      </c>
      <c r="Z42" s="383">
        <f t="shared" si="21"/>
        <v>0</v>
      </c>
      <c r="AA42" s="383">
        <f t="shared" si="22"/>
        <v>0</v>
      </c>
      <c r="AB42" s="383">
        <f t="shared" si="23"/>
        <v>0</v>
      </c>
      <c r="AC42" s="383">
        <f t="shared" si="24"/>
        <v>0</v>
      </c>
      <c r="AD42" s="383">
        <f t="shared" si="25"/>
        <v>0</v>
      </c>
      <c r="AE42" s="58"/>
      <c r="AF42" s="383"/>
      <c r="AG42" s="383"/>
      <c r="AH42" s="383"/>
      <c r="AI42" s="383"/>
      <c r="AJ42" s="383"/>
      <c r="AK42" s="383"/>
      <c r="AL42" s="383"/>
      <c r="AM42" s="383"/>
      <c r="AP42" s="383">
        <f t="shared" si="78"/>
        <v>0</v>
      </c>
      <c r="AQ42" s="383">
        <f t="shared" si="55"/>
        <v>0</v>
      </c>
      <c r="AR42" s="383">
        <f t="shared" si="56"/>
        <v>328.50875</v>
      </c>
      <c r="AS42" s="383">
        <f t="shared" si="57"/>
        <v>0</v>
      </c>
      <c r="AT42" s="383">
        <f t="shared" si="58"/>
        <v>0</v>
      </c>
      <c r="AU42" s="383">
        <f t="shared" si="59"/>
        <v>0</v>
      </c>
      <c r="AV42" s="383">
        <f t="shared" si="60"/>
        <v>0</v>
      </c>
      <c r="AW42" s="383">
        <f t="shared" si="61"/>
        <v>0</v>
      </c>
      <c r="AX42" s="58"/>
      <c r="AY42" s="383" t="s">
        <v>134</v>
      </c>
      <c r="AZ42" s="383">
        <v>225</v>
      </c>
      <c r="BA42" s="383">
        <f t="shared" si="62"/>
        <v>0</v>
      </c>
      <c r="BB42" s="383">
        <f t="shared" si="63"/>
        <v>0</v>
      </c>
      <c r="BC42" s="383">
        <f t="shared" si="64"/>
        <v>225</v>
      </c>
      <c r="BD42" s="383">
        <f t="shared" si="65"/>
        <v>0</v>
      </c>
      <c r="BE42" s="383">
        <f t="shared" si="66"/>
        <v>0</v>
      </c>
      <c r="BF42" s="383">
        <f t="shared" si="67"/>
        <v>0</v>
      </c>
      <c r="BG42" s="383">
        <f t="shared" si="68"/>
        <v>0</v>
      </c>
      <c r="BH42" s="383">
        <f t="shared" si="69"/>
        <v>0</v>
      </c>
      <c r="BJ42" s="382" t="s">
        <v>134</v>
      </c>
      <c r="BK42" s="383">
        <v>116</v>
      </c>
      <c r="BL42" s="383">
        <f t="shared" si="70"/>
        <v>0</v>
      </c>
      <c r="BM42" s="383">
        <f t="shared" si="71"/>
        <v>0</v>
      </c>
      <c r="BN42" s="383">
        <f t="shared" si="72"/>
        <v>116</v>
      </c>
      <c r="BO42" s="383">
        <f t="shared" si="73"/>
        <v>0</v>
      </c>
      <c r="BP42" s="383">
        <f t="shared" si="74"/>
        <v>0</v>
      </c>
      <c r="BQ42" s="383">
        <f t="shared" si="75"/>
        <v>0</v>
      </c>
      <c r="BR42" s="383">
        <f t="shared" si="76"/>
        <v>0</v>
      </c>
      <c r="BS42" s="383">
        <f t="shared" si="77"/>
        <v>0</v>
      </c>
    </row>
    <row r="43" spans="1:71" ht="11.25">
      <c r="A43" s="60"/>
      <c r="B43" s="405"/>
      <c r="C43" s="406" t="s">
        <v>133</v>
      </c>
      <c r="D43" s="382" t="s">
        <v>236</v>
      </c>
      <c r="E43" s="383">
        <f>IF(ISERROR(VLOOKUP(C43,'CA Level'!$B$7:$D$86,3,FALSE)),0,VLOOKUP(C43,'CA Level'!$B$7:$D$86,3,FALSE))</f>
        <v>61.599999999999994</v>
      </c>
      <c r="F43" s="383">
        <v>120.00854</v>
      </c>
      <c r="G43" s="397">
        <f t="shared" si="15"/>
        <v>58.40854</v>
      </c>
      <c r="H43" s="398">
        <f t="shared" si="16"/>
        <v>0.9481905844155846</v>
      </c>
      <c r="I43" s="417"/>
      <c r="J43" s="415"/>
      <c r="K43" s="46"/>
      <c r="L43" s="388" t="s">
        <v>19</v>
      </c>
      <c r="M43" s="389">
        <f t="shared" si="54"/>
        <v>0</v>
      </c>
      <c r="N43" s="389">
        <f t="shared" si="54"/>
        <v>0</v>
      </c>
      <c r="O43" s="389">
        <f t="shared" si="54"/>
        <v>0</v>
      </c>
      <c r="P43" s="389">
        <f t="shared" si="54"/>
        <v>1</v>
      </c>
      <c r="Q43" s="389">
        <f t="shared" si="54"/>
        <v>0</v>
      </c>
      <c r="R43" s="389">
        <f t="shared" si="54"/>
        <v>0</v>
      </c>
      <c r="S43" s="389">
        <f t="shared" si="54"/>
        <v>0</v>
      </c>
      <c r="T43" s="389">
        <f t="shared" si="54"/>
        <v>0</v>
      </c>
      <c r="U43" s="39">
        <f t="shared" si="17"/>
        <v>0</v>
      </c>
      <c r="W43" s="383">
        <f t="shared" si="18"/>
        <v>0</v>
      </c>
      <c r="X43" s="383">
        <f t="shared" si="19"/>
        <v>0</v>
      </c>
      <c r="Y43" s="383">
        <f t="shared" si="20"/>
        <v>0</v>
      </c>
      <c r="Z43" s="383">
        <f t="shared" si="21"/>
        <v>61.599999999999994</v>
      </c>
      <c r="AA43" s="383">
        <f t="shared" si="22"/>
        <v>0</v>
      </c>
      <c r="AB43" s="383">
        <f t="shared" si="23"/>
        <v>0</v>
      </c>
      <c r="AC43" s="383">
        <f t="shared" si="24"/>
        <v>0</v>
      </c>
      <c r="AD43" s="383">
        <f t="shared" si="25"/>
        <v>0</v>
      </c>
      <c r="AE43" s="58"/>
      <c r="AF43" s="383"/>
      <c r="AG43" s="383"/>
      <c r="AH43" s="383"/>
      <c r="AI43" s="383"/>
      <c r="AJ43" s="383"/>
      <c r="AK43" s="383"/>
      <c r="AL43" s="383"/>
      <c r="AM43" s="383"/>
      <c r="AP43" s="383">
        <f t="shared" si="78"/>
        <v>0</v>
      </c>
      <c r="AQ43" s="383">
        <f t="shared" si="55"/>
        <v>0</v>
      </c>
      <c r="AR43" s="383">
        <f t="shared" si="56"/>
        <v>0</v>
      </c>
      <c r="AS43" s="383">
        <f t="shared" si="57"/>
        <v>120.00854</v>
      </c>
      <c r="AT43" s="383">
        <f t="shared" si="58"/>
        <v>0</v>
      </c>
      <c r="AU43" s="383">
        <f t="shared" si="59"/>
        <v>0</v>
      </c>
      <c r="AV43" s="383">
        <f t="shared" si="60"/>
        <v>0</v>
      </c>
      <c r="AW43" s="383">
        <f t="shared" si="61"/>
        <v>0</v>
      </c>
      <c r="AX43" s="58"/>
      <c r="AY43" s="383" t="s">
        <v>133</v>
      </c>
      <c r="AZ43" s="383">
        <v>118.8</v>
      </c>
      <c r="BA43" s="383">
        <f t="shared" si="62"/>
        <v>0</v>
      </c>
      <c r="BB43" s="383">
        <f t="shared" si="63"/>
        <v>0</v>
      </c>
      <c r="BC43" s="383">
        <f t="shared" si="64"/>
        <v>0</v>
      </c>
      <c r="BD43" s="383">
        <f t="shared" si="65"/>
        <v>118.8</v>
      </c>
      <c r="BE43" s="383">
        <f t="shared" si="66"/>
        <v>0</v>
      </c>
      <c r="BF43" s="383">
        <f t="shared" si="67"/>
        <v>0</v>
      </c>
      <c r="BG43" s="383">
        <f t="shared" si="68"/>
        <v>0</v>
      </c>
      <c r="BH43" s="383">
        <f t="shared" si="69"/>
        <v>0</v>
      </c>
      <c r="BJ43" s="382" t="s">
        <v>133</v>
      </c>
      <c r="BK43" s="383">
        <v>154</v>
      </c>
      <c r="BL43" s="383">
        <f t="shared" si="70"/>
        <v>0</v>
      </c>
      <c r="BM43" s="383">
        <f t="shared" si="71"/>
        <v>0</v>
      </c>
      <c r="BN43" s="383">
        <f t="shared" si="72"/>
        <v>0</v>
      </c>
      <c r="BO43" s="383">
        <f t="shared" si="73"/>
        <v>154</v>
      </c>
      <c r="BP43" s="383">
        <f t="shared" si="74"/>
        <v>0</v>
      </c>
      <c r="BQ43" s="383">
        <f t="shared" si="75"/>
        <v>0</v>
      </c>
      <c r="BR43" s="383">
        <f t="shared" si="76"/>
        <v>0</v>
      </c>
      <c r="BS43" s="383">
        <f t="shared" si="77"/>
        <v>0</v>
      </c>
    </row>
    <row r="44" spans="1:71" ht="11.25">
      <c r="A44" s="60"/>
      <c r="B44" s="405"/>
      <c r="C44" s="406" t="s">
        <v>132</v>
      </c>
      <c r="D44" s="382" t="s">
        <v>219</v>
      </c>
      <c r="E44" s="383">
        <f>IF(ISERROR(VLOOKUP(C44,'CA Level'!$B$7:$D$86,3,FALSE)),0,VLOOKUP(C44,'CA Level'!$B$7:$D$86,3,FALSE))</f>
        <v>0</v>
      </c>
      <c r="F44" s="383">
        <v>105.358</v>
      </c>
      <c r="G44" s="397">
        <f t="shared" si="15"/>
        <v>105.358</v>
      </c>
      <c r="H44" s="398" t="str">
        <f t="shared" si="16"/>
        <v>'NA'</v>
      </c>
      <c r="I44" s="417"/>
      <c r="J44" s="415"/>
      <c r="K44" s="46"/>
      <c r="L44" s="388" t="s">
        <v>17</v>
      </c>
      <c r="M44" s="389">
        <f t="shared" si="54"/>
        <v>0</v>
      </c>
      <c r="N44" s="389">
        <f t="shared" si="54"/>
        <v>0</v>
      </c>
      <c r="O44" s="389">
        <f t="shared" si="54"/>
        <v>1</v>
      </c>
      <c r="P44" s="389">
        <f t="shared" si="54"/>
        <v>0</v>
      </c>
      <c r="Q44" s="389">
        <f t="shared" si="54"/>
        <v>0</v>
      </c>
      <c r="R44" s="389">
        <f t="shared" si="54"/>
        <v>0</v>
      </c>
      <c r="S44" s="389">
        <f t="shared" si="54"/>
        <v>0</v>
      </c>
      <c r="T44" s="389">
        <f t="shared" si="54"/>
        <v>0</v>
      </c>
      <c r="U44" s="39">
        <f t="shared" si="17"/>
        <v>0</v>
      </c>
      <c r="W44" s="383">
        <f t="shared" si="18"/>
        <v>0</v>
      </c>
      <c r="X44" s="383">
        <f t="shared" si="19"/>
        <v>0</v>
      </c>
      <c r="Y44" s="383">
        <f t="shared" si="20"/>
        <v>0</v>
      </c>
      <c r="Z44" s="383">
        <f t="shared" si="21"/>
        <v>0</v>
      </c>
      <c r="AA44" s="383">
        <f t="shared" si="22"/>
        <v>0</v>
      </c>
      <c r="AB44" s="383">
        <f t="shared" si="23"/>
        <v>0</v>
      </c>
      <c r="AC44" s="383">
        <f t="shared" si="24"/>
        <v>0</v>
      </c>
      <c r="AD44" s="383">
        <f t="shared" si="25"/>
        <v>0</v>
      </c>
      <c r="AE44" s="58"/>
      <c r="AF44" s="383"/>
      <c r="AG44" s="383"/>
      <c r="AH44" s="383"/>
      <c r="AI44" s="383"/>
      <c r="AJ44" s="383"/>
      <c r="AK44" s="383"/>
      <c r="AL44" s="383"/>
      <c r="AM44" s="383"/>
      <c r="AP44" s="383">
        <f t="shared" si="78"/>
        <v>0</v>
      </c>
      <c r="AQ44" s="383">
        <f t="shared" si="55"/>
        <v>0</v>
      </c>
      <c r="AR44" s="383">
        <f t="shared" si="56"/>
        <v>105.358</v>
      </c>
      <c r="AS44" s="383">
        <f t="shared" si="57"/>
        <v>0</v>
      </c>
      <c r="AT44" s="383">
        <f t="shared" si="58"/>
        <v>0</v>
      </c>
      <c r="AU44" s="383">
        <f t="shared" si="59"/>
        <v>0</v>
      </c>
      <c r="AV44" s="383">
        <f t="shared" si="60"/>
        <v>0</v>
      </c>
      <c r="AW44" s="383">
        <f t="shared" si="61"/>
        <v>0</v>
      </c>
      <c r="AX44" s="58"/>
      <c r="AY44" s="383" t="s">
        <v>132</v>
      </c>
      <c r="AZ44" s="383">
        <v>70</v>
      </c>
      <c r="BA44" s="383">
        <f t="shared" si="62"/>
        <v>0</v>
      </c>
      <c r="BB44" s="383">
        <f t="shared" si="63"/>
        <v>0</v>
      </c>
      <c r="BC44" s="383">
        <f t="shared" si="64"/>
        <v>70</v>
      </c>
      <c r="BD44" s="383">
        <f t="shared" si="65"/>
        <v>0</v>
      </c>
      <c r="BE44" s="383">
        <f t="shared" si="66"/>
        <v>0</v>
      </c>
      <c r="BF44" s="383">
        <f t="shared" si="67"/>
        <v>0</v>
      </c>
      <c r="BG44" s="383">
        <f t="shared" si="68"/>
        <v>0</v>
      </c>
      <c r="BH44" s="383">
        <f t="shared" si="69"/>
        <v>0</v>
      </c>
      <c r="BJ44" s="382" t="s">
        <v>132</v>
      </c>
      <c r="BK44" s="383">
        <v>87</v>
      </c>
      <c r="BL44" s="383">
        <f t="shared" si="70"/>
        <v>0</v>
      </c>
      <c r="BM44" s="383">
        <f t="shared" si="71"/>
        <v>0</v>
      </c>
      <c r="BN44" s="383">
        <f t="shared" si="72"/>
        <v>87</v>
      </c>
      <c r="BO44" s="383">
        <f t="shared" si="73"/>
        <v>0</v>
      </c>
      <c r="BP44" s="383">
        <f t="shared" si="74"/>
        <v>0</v>
      </c>
      <c r="BQ44" s="383">
        <f t="shared" si="75"/>
        <v>0</v>
      </c>
      <c r="BR44" s="383">
        <f t="shared" si="76"/>
        <v>0</v>
      </c>
      <c r="BS44" s="383">
        <f t="shared" si="77"/>
        <v>0</v>
      </c>
    </row>
    <row r="45" spans="1:71" ht="11.25">
      <c r="A45" s="60"/>
      <c r="B45" s="405"/>
      <c r="C45" s="406" t="s">
        <v>131</v>
      </c>
      <c r="D45" s="382" t="s">
        <v>235</v>
      </c>
      <c r="E45" s="383">
        <f>IF(ISERROR(VLOOKUP(C45,'CA Level'!$B$7:$D$86,3,FALSE)),0,VLOOKUP(C45,'CA Level'!$B$7:$D$86,3,FALSE))</f>
        <v>58.72</v>
      </c>
      <c r="F45" s="383">
        <v>60.19649</v>
      </c>
      <c r="G45" s="397">
        <f t="shared" si="15"/>
        <v>1.4764899999999983</v>
      </c>
      <c r="H45" s="398">
        <f t="shared" si="16"/>
        <v>0.025144584468664823</v>
      </c>
      <c r="I45" s="417"/>
      <c r="J45" s="415"/>
      <c r="K45" s="46"/>
      <c r="L45" s="388" t="s">
        <v>17</v>
      </c>
      <c r="M45" s="389">
        <f aca="true" t="shared" si="79" ref="M45:T59">IF($L45=M$22,1,0)</f>
        <v>0</v>
      </c>
      <c r="N45" s="389">
        <f t="shared" si="79"/>
        <v>0</v>
      </c>
      <c r="O45" s="389">
        <f t="shared" si="79"/>
        <v>1</v>
      </c>
      <c r="P45" s="389">
        <f t="shared" si="79"/>
        <v>0</v>
      </c>
      <c r="Q45" s="389">
        <f t="shared" si="79"/>
        <v>0</v>
      </c>
      <c r="R45" s="389">
        <f t="shared" si="79"/>
        <v>0</v>
      </c>
      <c r="S45" s="389">
        <f t="shared" si="79"/>
        <v>0</v>
      </c>
      <c r="T45" s="389">
        <f t="shared" si="79"/>
        <v>0</v>
      </c>
      <c r="U45" s="39">
        <f t="shared" si="17"/>
        <v>0</v>
      </c>
      <c r="W45" s="383">
        <f t="shared" si="18"/>
        <v>0</v>
      </c>
      <c r="X45" s="383">
        <f t="shared" si="19"/>
        <v>0</v>
      </c>
      <c r="Y45" s="383">
        <f t="shared" si="20"/>
        <v>58.72</v>
      </c>
      <c r="Z45" s="383">
        <f t="shared" si="21"/>
        <v>0</v>
      </c>
      <c r="AA45" s="383">
        <f t="shared" si="22"/>
        <v>0</v>
      </c>
      <c r="AB45" s="383">
        <f t="shared" si="23"/>
        <v>0</v>
      </c>
      <c r="AC45" s="383">
        <f t="shared" si="24"/>
        <v>0</v>
      </c>
      <c r="AD45" s="383">
        <f t="shared" si="25"/>
        <v>0</v>
      </c>
      <c r="AE45" s="58"/>
      <c r="AF45" s="383"/>
      <c r="AG45" s="383"/>
      <c r="AH45" s="383"/>
      <c r="AI45" s="383"/>
      <c r="AJ45" s="383"/>
      <c r="AK45" s="383"/>
      <c r="AL45" s="383"/>
      <c r="AM45" s="383"/>
      <c r="AP45" s="383">
        <f t="shared" si="78"/>
        <v>0</v>
      </c>
      <c r="AQ45" s="383">
        <f t="shared" si="55"/>
        <v>0</v>
      </c>
      <c r="AR45" s="383">
        <f t="shared" si="56"/>
        <v>60.19649</v>
      </c>
      <c r="AS45" s="383">
        <f t="shared" si="57"/>
        <v>0</v>
      </c>
      <c r="AT45" s="383">
        <f t="shared" si="58"/>
        <v>0</v>
      </c>
      <c r="AU45" s="383">
        <f t="shared" si="59"/>
        <v>0</v>
      </c>
      <c r="AV45" s="383">
        <f t="shared" si="60"/>
        <v>0</v>
      </c>
      <c r="AW45" s="383">
        <f t="shared" si="61"/>
        <v>0</v>
      </c>
      <c r="AX45" s="58"/>
      <c r="AY45" s="383" t="s">
        <v>131</v>
      </c>
      <c r="AZ45" s="383">
        <v>75</v>
      </c>
      <c r="BA45" s="383">
        <f t="shared" si="62"/>
        <v>0</v>
      </c>
      <c r="BB45" s="383">
        <f t="shared" si="63"/>
        <v>0</v>
      </c>
      <c r="BC45" s="383">
        <f t="shared" si="64"/>
        <v>75</v>
      </c>
      <c r="BD45" s="383">
        <f t="shared" si="65"/>
        <v>0</v>
      </c>
      <c r="BE45" s="383">
        <f t="shared" si="66"/>
        <v>0</v>
      </c>
      <c r="BF45" s="383">
        <f t="shared" si="67"/>
        <v>0</v>
      </c>
      <c r="BG45" s="383">
        <f t="shared" si="68"/>
        <v>0</v>
      </c>
      <c r="BH45" s="383">
        <f t="shared" si="69"/>
        <v>0</v>
      </c>
      <c r="BJ45" s="382" t="s">
        <v>131</v>
      </c>
      <c r="BK45" s="383">
        <v>44</v>
      </c>
      <c r="BL45" s="383">
        <f t="shared" si="70"/>
        <v>0</v>
      </c>
      <c r="BM45" s="383">
        <f t="shared" si="71"/>
        <v>0</v>
      </c>
      <c r="BN45" s="383">
        <f t="shared" si="72"/>
        <v>44</v>
      </c>
      <c r="BO45" s="383">
        <f t="shared" si="73"/>
        <v>0</v>
      </c>
      <c r="BP45" s="383">
        <f t="shared" si="74"/>
        <v>0</v>
      </c>
      <c r="BQ45" s="383">
        <f t="shared" si="75"/>
        <v>0</v>
      </c>
      <c r="BR45" s="383">
        <f t="shared" si="76"/>
        <v>0</v>
      </c>
      <c r="BS45" s="383">
        <f t="shared" si="77"/>
        <v>0</v>
      </c>
    </row>
    <row r="46" spans="1:71" ht="11.25">
      <c r="A46" s="60"/>
      <c r="B46" s="405"/>
      <c r="C46" s="406" t="s">
        <v>130</v>
      </c>
      <c r="D46" s="382" t="s">
        <v>234</v>
      </c>
      <c r="E46" s="383">
        <f>IF(ISERROR(VLOOKUP(C46,'CA Level'!$B$7:$D$86,3,FALSE)),0,VLOOKUP(C46,'CA Level'!$B$7:$D$86,3,FALSE))</f>
        <v>0</v>
      </c>
      <c r="F46" s="383">
        <v>63.97</v>
      </c>
      <c r="G46" s="397">
        <f t="shared" si="15"/>
        <v>63.97</v>
      </c>
      <c r="H46" s="398" t="str">
        <f t="shared" si="16"/>
        <v>'NA'</v>
      </c>
      <c r="I46" s="417"/>
      <c r="J46" s="415"/>
      <c r="K46" s="46"/>
      <c r="L46" s="388" t="s">
        <v>17</v>
      </c>
      <c r="M46" s="389">
        <f t="shared" si="79"/>
        <v>0</v>
      </c>
      <c r="N46" s="389">
        <f t="shared" si="79"/>
        <v>0</v>
      </c>
      <c r="O46" s="389">
        <f t="shared" si="79"/>
        <v>1</v>
      </c>
      <c r="P46" s="389">
        <f t="shared" si="79"/>
        <v>0</v>
      </c>
      <c r="Q46" s="389">
        <f t="shared" si="79"/>
        <v>0</v>
      </c>
      <c r="R46" s="389">
        <f t="shared" si="79"/>
        <v>0</v>
      </c>
      <c r="S46" s="389">
        <f t="shared" si="79"/>
        <v>0</v>
      </c>
      <c r="T46" s="389">
        <f t="shared" si="79"/>
        <v>0</v>
      </c>
      <c r="U46" s="39">
        <f t="shared" si="17"/>
        <v>0</v>
      </c>
      <c r="W46" s="383">
        <f t="shared" si="18"/>
        <v>0</v>
      </c>
      <c r="X46" s="383">
        <f t="shared" si="19"/>
        <v>0</v>
      </c>
      <c r="Y46" s="383">
        <f t="shared" si="20"/>
        <v>0</v>
      </c>
      <c r="Z46" s="383">
        <f t="shared" si="21"/>
        <v>0</v>
      </c>
      <c r="AA46" s="383">
        <f t="shared" si="22"/>
        <v>0</v>
      </c>
      <c r="AB46" s="383">
        <f t="shared" si="23"/>
        <v>0</v>
      </c>
      <c r="AC46" s="383">
        <f t="shared" si="24"/>
        <v>0</v>
      </c>
      <c r="AD46" s="383">
        <f t="shared" si="25"/>
        <v>0</v>
      </c>
      <c r="AE46" s="58"/>
      <c r="AF46" s="383"/>
      <c r="AG46" s="383"/>
      <c r="AH46" s="383"/>
      <c r="AI46" s="383"/>
      <c r="AJ46" s="383"/>
      <c r="AK46" s="383"/>
      <c r="AL46" s="383"/>
      <c r="AM46" s="383"/>
      <c r="AP46" s="383">
        <f t="shared" si="78"/>
        <v>0</v>
      </c>
      <c r="AQ46" s="383">
        <f t="shared" si="55"/>
        <v>0</v>
      </c>
      <c r="AR46" s="383">
        <f t="shared" si="56"/>
        <v>63.97</v>
      </c>
      <c r="AS46" s="383">
        <f t="shared" si="57"/>
        <v>0</v>
      </c>
      <c r="AT46" s="383">
        <f t="shared" si="58"/>
        <v>0</v>
      </c>
      <c r="AU46" s="383">
        <f t="shared" si="59"/>
        <v>0</v>
      </c>
      <c r="AV46" s="383">
        <f t="shared" si="60"/>
        <v>0</v>
      </c>
      <c r="AW46" s="383">
        <f t="shared" si="61"/>
        <v>0</v>
      </c>
      <c r="AX46" s="58"/>
      <c r="AY46" s="383" t="s">
        <v>130</v>
      </c>
      <c r="AZ46" s="383">
        <v>13.3</v>
      </c>
      <c r="BA46" s="383">
        <f t="shared" si="62"/>
        <v>0</v>
      </c>
      <c r="BB46" s="383">
        <f t="shared" si="63"/>
        <v>0</v>
      </c>
      <c r="BC46" s="383">
        <f t="shared" si="64"/>
        <v>13.3</v>
      </c>
      <c r="BD46" s="383">
        <f t="shared" si="65"/>
        <v>0</v>
      </c>
      <c r="BE46" s="383">
        <f t="shared" si="66"/>
        <v>0</v>
      </c>
      <c r="BF46" s="383">
        <f t="shared" si="67"/>
        <v>0</v>
      </c>
      <c r="BG46" s="383">
        <f t="shared" si="68"/>
        <v>0</v>
      </c>
      <c r="BH46" s="383">
        <f t="shared" si="69"/>
        <v>0</v>
      </c>
      <c r="BJ46" s="382" t="s">
        <v>130</v>
      </c>
      <c r="BK46" s="383">
        <v>23</v>
      </c>
      <c r="BL46" s="383">
        <f t="shared" si="70"/>
        <v>0</v>
      </c>
      <c r="BM46" s="383">
        <f t="shared" si="71"/>
        <v>0</v>
      </c>
      <c r="BN46" s="383">
        <f t="shared" si="72"/>
        <v>23</v>
      </c>
      <c r="BO46" s="383">
        <f t="shared" si="73"/>
        <v>0</v>
      </c>
      <c r="BP46" s="383">
        <f t="shared" si="74"/>
        <v>0</v>
      </c>
      <c r="BQ46" s="383">
        <f t="shared" si="75"/>
        <v>0</v>
      </c>
      <c r="BR46" s="383">
        <f t="shared" si="76"/>
        <v>0</v>
      </c>
      <c r="BS46" s="383">
        <f t="shared" si="77"/>
        <v>0</v>
      </c>
    </row>
    <row r="47" spans="1:71" ht="11.25">
      <c r="A47" s="60"/>
      <c r="B47" s="405"/>
      <c r="C47" s="406" t="s">
        <v>129</v>
      </c>
      <c r="D47" s="382" t="s">
        <v>233</v>
      </c>
      <c r="E47" s="383">
        <f>IF(ISERROR(VLOOKUP(C47,'CA Level'!$B$7:$D$86,3,FALSE)),0,VLOOKUP(C47,'CA Level'!$B$7:$D$86,3,FALSE))</f>
        <v>0.81</v>
      </c>
      <c r="F47" s="383">
        <v>7.000439999999999</v>
      </c>
      <c r="G47" s="397">
        <f t="shared" si="15"/>
        <v>6.190439999999999</v>
      </c>
      <c r="H47" s="398">
        <f t="shared" si="16"/>
        <v>7.642518518518517</v>
      </c>
      <c r="I47" s="417"/>
      <c r="J47" s="415"/>
      <c r="K47" s="46"/>
      <c r="L47" s="388" t="s">
        <v>6</v>
      </c>
      <c r="M47" s="389">
        <f t="shared" si="79"/>
        <v>1</v>
      </c>
      <c r="N47" s="389">
        <f t="shared" si="79"/>
        <v>0</v>
      </c>
      <c r="O47" s="389">
        <f t="shared" si="79"/>
        <v>0</v>
      </c>
      <c r="P47" s="389">
        <f t="shared" si="79"/>
        <v>0</v>
      </c>
      <c r="Q47" s="389">
        <f t="shared" si="79"/>
        <v>0</v>
      </c>
      <c r="R47" s="389">
        <f t="shared" si="79"/>
        <v>0</v>
      </c>
      <c r="S47" s="389">
        <f t="shared" si="79"/>
        <v>0</v>
      </c>
      <c r="T47" s="389">
        <f t="shared" si="79"/>
        <v>0</v>
      </c>
      <c r="U47" s="39">
        <f t="shared" si="17"/>
        <v>0</v>
      </c>
      <c r="W47" s="383">
        <f t="shared" si="18"/>
        <v>0.81</v>
      </c>
      <c r="X47" s="383">
        <f t="shared" si="19"/>
        <v>0</v>
      </c>
      <c r="Y47" s="383">
        <f t="shared" si="20"/>
        <v>0</v>
      </c>
      <c r="Z47" s="383">
        <f t="shared" si="21"/>
        <v>0</v>
      </c>
      <c r="AA47" s="383">
        <f t="shared" si="22"/>
        <v>0</v>
      </c>
      <c r="AB47" s="383">
        <f t="shared" si="23"/>
        <v>0</v>
      </c>
      <c r="AC47" s="383">
        <f t="shared" si="24"/>
        <v>0</v>
      </c>
      <c r="AD47" s="383">
        <f t="shared" si="25"/>
        <v>0</v>
      </c>
      <c r="AE47" s="58"/>
      <c r="AF47" s="383"/>
      <c r="AG47" s="383"/>
      <c r="AH47" s="383"/>
      <c r="AI47" s="383"/>
      <c r="AJ47" s="383"/>
      <c r="AK47" s="383"/>
      <c r="AL47" s="383"/>
      <c r="AM47" s="383"/>
      <c r="AP47" s="383">
        <f t="shared" si="78"/>
        <v>7.000439999999999</v>
      </c>
      <c r="AQ47" s="383">
        <f t="shared" si="55"/>
        <v>0</v>
      </c>
      <c r="AR47" s="383">
        <f t="shared" si="56"/>
        <v>0</v>
      </c>
      <c r="AS47" s="383">
        <f t="shared" si="57"/>
        <v>0</v>
      </c>
      <c r="AT47" s="383">
        <f t="shared" si="58"/>
        <v>0</v>
      </c>
      <c r="AU47" s="383">
        <f t="shared" si="59"/>
        <v>0</v>
      </c>
      <c r="AV47" s="383">
        <f t="shared" si="60"/>
        <v>0</v>
      </c>
      <c r="AW47" s="383">
        <f t="shared" si="61"/>
        <v>0</v>
      </c>
      <c r="AX47" s="58"/>
      <c r="AY47" s="383" t="s">
        <v>129</v>
      </c>
      <c r="AZ47" s="383">
        <v>7.4</v>
      </c>
      <c r="BA47" s="383">
        <f t="shared" si="62"/>
        <v>7.4</v>
      </c>
      <c r="BB47" s="383">
        <f t="shared" si="63"/>
        <v>0</v>
      </c>
      <c r="BC47" s="383">
        <f t="shared" si="64"/>
        <v>0</v>
      </c>
      <c r="BD47" s="383">
        <f t="shared" si="65"/>
        <v>0</v>
      </c>
      <c r="BE47" s="383">
        <f t="shared" si="66"/>
        <v>0</v>
      </c>
      <c r="BF47" s="383">
        <f t="shared" si="67"/>
        <v>0</v>
      </c>
      <c r="BG47" s="383">
        <f t="shared" si="68"/>
        <v>0</v>
      </c>
      <c r="BH47" s="383">
        <f t="shared" si="69"/>
        <v>0</v>
      </c>
      <c r="BJ47" s="382" t="s">
        <v>129</v>
      </c>
      <c r="BK47" s="383">
        <v>7</v>
      </c>
      <c r="BL47" s="383">
        <f t="shared" si="70"/>
        <v>7</v>
      </c>
      <c r="BM47" s="383">
        <f t="shared" si="71"/>
        <v>0</v>
      </c>
      <c r="BN47" s="383">
        <f t="shared" si="72"/>
        <v>0</v>
      </c>
      <c r="BO47" s="383">
        <f t="shared" si="73"/>
        <v>0</v>
      </c>
      <c r="BP47" s="383">
        <f t="shared" si="74"/>
        <v>0</v>
      </c>
      <c r="BQ47" s="383">
        <f t="shared" si="75"/>
        <v>0</v>
      </c>
      <c r="BR47" s="383">
        <f t="shared" si="76"/>
        <v>0</v>
      </c>
      <c r="BS47" s="383">
        <f t="shared" si="77"/>
        <v>0</v>
      </c>
    </row>
    <row r="48" spans="1:71" ht="11.25">
      <c r="A48" s="60"/>
      <c r="B48" s="405"/>
      <c r="C48" s="406" t="s">
        <v>128</v>
      </c>
      <c r="D48" s="382" t="s">
        <v>232</v>
      </c>
      <c r="E48" s="383">
        <f>IF(ISERROR(VLOOKUP(C48,'CA Level'!$B$7:$D$86,3,FALSE)),0,VLOOKUP(C48,'CA Level'!$B$7:$D$86,3,FALSE))</f>
        <v>0</v>
      </c>
      <c r="F48" s="383">
        <v>40.00612</v>
      </c>
      <c r="G48" s="397">
        <f t="shared" si="15"/>
        <v>40.00612</v>
      </c>
      <c r="H48" s="398" t="str">
        <f t="shared" si="16"/>
        <v>'NA'</v>
      </c>
      <c r="I48" s="417"/>
      <c r="J48" s="415"/>
      <c r="K48" s="46"/>
      <c r="L48" s="388" t="s">
        <v>6</v>
      </c>
      <c r="M48" s="389">
        <f t="shared" si="79"/>
        <v>1</v>
      </c>
      <c r="N48" s="389">
        <f t="shared" si="79"/>
        <v>0</v>
      </c>
      <c r="O48" s="389">
        <f t="shared" si="79"/>
        <v>0</v>
      </c>
      <c r="P48" s="389">
        <f t="shared" si="79"/>
        <v>0</v>
      </c>
      <c r="Q48" s="389">
        <f t="shared" si="79"/>
        <v>0</v>
      </c>
      <c r="R48" s="389">
        <f t="shared" si="79"/>
        <v>0</v>
      </c>
      <c r="S48" s="389">
        <f t="shared" si="79"/>
        <v>0</v>
      </c>
      <c r="T48" s="389">
        <f t="shared" si="79"/>
        <v>0</v>
      </c>
      <c r="U48" s="39">
        <f t="shared" si="17"/>
        <v>0</v>
      </c>
      <c r="W48" s="383">
        <f t="shared" si="18"/>
        <v>0</v>
      </c>
      <c r="X48" s="383">
        <f t="shared" si="19"/>
        <v>0</v>
      </c>
      <c r="Y48" s="383">
        <f t="shared" si="20"/>
        <v>0</v>
      </c>
      <c r="Z48" s="383">
        <f t="shared" si="21"/>
        <v>0</v>
      </c>
      <c r="AA48" s="383">
        <f t="shared" si="22"/>
        <v>0</v>
      </c>
      <c r="AB48" s="383">
        <f t="shared" si="23"/>
        <v>0</v>
      </c>
      <c r="AC48" s="383">
        <f t="shared" si="24"/>
        <v>0</v>
      </c>
      <c r="AD48" s="383">
        <f t="shared" si="25"/>
        <v>0</v>
      </c>
      <c r="AE48" s="58"/>
      <c r="AF48" s="383"/>
      <c r="AG48" s="383"/>
      <c r="AH48" s="383"/>
      <c r="AI48" s="383"/>
      <c r="AJ48" s="383"/>
      <c r="AK48" s="383"/>
      <c r="AL48" s="383"/>
      <c r="AM48" s="383"/>
      <c r="AP48" s="383">
        <f t="shared" si="78"/>
        <v>40.00612</v>
      </c>
      <c r="AQ48" s="383">
        <f t="shared" si="55"/>
        <v>0</v>
      </c>
      <c r="AR48" s="383">
        <f t="shared" si="56"/>
        <v>0</v>
      </c>
      <c r="AS48" s="383">
        <f t="shared" si="57"/>
        <v>0</v>
      </c>
      <c r="AT48" s="383">
        <f t="shared" si="58"/>
        <v>0</v>
      </c>
      <c r="AU48" s="383">
        <f t="shared" si="59"/>
        <v>0</v>
      </c>
      <c r="AV48" s="383">
        <f t="shared" si="60"/>
        <v>0</v>
      </c>
      <c r="AW48" s="383">
        <f t="shared" si="61"/>
        <v>0</v>
      </c>
      <c r="AX48" s="58"/>
      <c r="AY48" s="383" t="s">
        <v>128</v>
      </c>
      <c r="AZ48" s="383">
        <v>64.9</v>
      </c>
      <c r="BA48" s="383">
        <f t="shared" si="62"/>
        <v>64.9</v>
      </c>
      <c r="BB48" s="383">
        <f t="shared" si="63"/>
        <v>0</v>
      </c>
      <c r="BC48" s="383">
        <f t="shared" si="64"/>
        <v>0</v>
      </c>
      <c r="BD48" s="383">
        <f t="shared" si="65"/>
        <v>0</v>
      </c>
      <c r="BE48" s="383">
        <f t="shared" si="66"/>
        <v>0</v>
      </c>
      <c r="BF48" s="383">
        <f t="shared" si="67"/>
        <v>0</v>
      </c>
      <c r="BG48" s="383">
        <f t="shared" si="68"/>
        <v>0</v>
      </c>
      <c r="BH48" s="383">
        <f t="shared" si="69"/>
        <v>0</v>
      </c>
      <c r="BJ48" s="382" t="s">
        <v>128</v>
      </c>
      <c r="BK48" s="383">
        <v>64</v>
      </c>
      <c r="BL48" s="383">
        <f t="shared" si="70"/>
        <v>64</v>
      </c>
      <c r="BM48" s="383">
        <f t="shared" si="71"/>
        <v>0</v>
      </c>
      <c r="BN48" s="383">
        <f t="shared" si="72"/>
        <v>0</v>
      </c>
      <c r="BO48" s="383">
        <f t="shared" si="73"/>
        <v>0</v>
      </c>
      <c r="BP48" s="383">
        <f t="shared" si="74"/>
        <v>0</v>
      </c>
      <c r="BQ48" s="383">
        <f t="shared" si="75"/>
        <v>0</v>
      </c>
      <c r="BR48" s="383">
        <f t="shared" si="76"/>
        <v>0</v>
      </c>
      <c r="BS48" s="383">
        <f t="shared" si="77"/>
        <v>0</v>
      </c>
    </row>
    <row r="49" spans="1:71" ht="11.25">
      <c r="A49" s="60"/>
      <c r="B49" s="405"/>
      <c r="C49" s="406" t="s">
        <v>127</v>
      </c>
      <c r="D49" s="382" t="s">
        <v>198</v>
      </c>
      <c r="E49" s="383">
        <f>IF(ISERROR(VLOOKUP(C49,'CA Level'!$B$7:$D$86,3,FALSE)),0,VLOOKUP(C49,'CA Level'!$B$7:$D$86,3,FALSE))</f>
        <v>5</v>
      </c>
      <c r="F49" s="383">
        <v>2.00078</v>
      </c>
      <c r="G49" s="397">
        <f t="shared" si="15"/>
        <v>-2.99922</v>
      </c>
      <c r="H49" s="398">
        <f t="shared" si="16"/>
        <v>-0.599844</v>
      </c>
      <c r="I49" s="417"/>
      <c r="J49" s="415"/>
      <c r="K49" s="46"/>
      <c r="L49" s="388" t="s">
        <v>6</v>
      </c>
      <c r="M49" s="389">
        <f t="shared" si="79"/>
        <v>1</v>
      </c>
      <c r="N49" s="389">
        <f t="shared" si="79"/>
        <v>0</v>
      </c>
      <c r="O49" s="389">
        <f t="shared" si="79"/>
        <v>0</v>
      </c>
      <c r="P49" s="389">
        <f t="shared" si="79"/>
        <v>0</v>
      </c>
      <c r="Q49" s="389">
        <f t="shared" si="79"/>
        <v>0</v>
      </c>
      <c r="R49" s="389">
        <f t="shared" si="79"/>
        <v>0</v>
      </c>
      <c r="S49" s="389">
        <f t="shared" si="79"/>
        <v>0</v>
      </c>
      <c r="T49" s="389">
        <f t="shared" si="79"/>
        <v>0</v>
      </c>
      <c r="U49" s="39">
        <f t="shared" si="17"/>
        <v>0</v>
      </c>
      <c r="W49" s="383">
        <f t="shared" si="18"/>
        <v>5</v>
      </c>
      <c r="X49" s="383">
        <f t="shared" si="19"/>
        <v>0</v>
      </c>
      <c r="Y49" s="383">
        <f t="shared" si="20"/>
        <v>0</v>
      </c>
      <c r="Z49" s="383">
        <f t="shared" si="21"/>
        <v>0</v>
      </c>
      <c r="AA49" s="383">
        <f t="shared" si="22"/>
        <v>0</v>
      </c>
      <c r="AB49" s="383">
        <f t="shared" si="23"/>
        <v>0</v>
      </c>
      <c r="AC49" s="383">
        <f t="shared" si="24"/>
        <v>0</v>
      </c>
      <c r="AD49" s="383">
        <f t="shared" si="25"/>
        <v>0</v>
      </c>
      <c r="AE49" s="58"/>
      <c r="AF49" s="383"/>
      <c r="AG49" s="383"/>
      <c r="AH49" s="383"/>
      <c r="AI49" s="383"/>
      <c r="AJ49" s="383"/>
      <c r="AK49" s="383"/>
      <c r="AL49" s="383"/>
      <c r="AM49" s="383"/>
      <c r="AP49" s="383">
        <f t="shared" si="78"/>
        <v>2.00078</v>
      </c>
      <c r="AQ49" s="383">
        <f t="shared" si="55"/>
        <v>0</v>
      </c>
      <c r="AR49" s="383">
        <f t="shared" si="56"/>
        <v>0</v>
      </c>
      <c r="AS49" s="383">
        <f t="shared" si="57"/>
        <v>0</v>
      </c>
      <c r="AT49" s="383">
        <f t="shared" si="58"/>
        <v>0</v>
      </c>
      <c r="AU49" s="383">
        <f t="shared" si="59"/>
        <v>0</v>
      </c>
      <c r="AV49" s="383">
        <f t="shared" si="60"/>
        <v>0</v>
      </c>
      <c r="AW49" s="383">
        <f t="shared" si="61"/>
        <v>0</v>
      </c>
      <c r="AX49" s="58"/>
      <c r="AY49" s="383" t="s">
        <v>127</v>
      </c>
      <c r="AZ49" s="383">
        <v>11.4</v>
      </c>
      <c r="BA49" s="383">
        <f t="shared" si="62"/>
        <v>11.4</v>
      </c>
      <c r="BB49" s="383">
        <f t="shared" si="63"/>
        <v>0</v>
      </c>
      <c r="BC49" s="383">
        <f t="shared" si="64"/>
        <v>0</v>
      </c>
      <c r="BD49" s="383">
        <f t="shared" si="65"/>
        <v>0</v>
      </c>
      <c r="BE49" s="383">
        <f t="shared" si="66"/>
        <v>0</v>
      </c>
      <c r="BF49" s="383">
        <f t="shared" si="67"/>
        <v>0</v>
      </c>
      <c r="BG49" s="383">
        <f t="shared" si="68"/>
        <v>0</v>
      </c>
      <c r="BH49" s="383">
        <f t="shared" si="69"/>
        <v>0</v>
      </c>
      <c r="BJ49" s="382" t="s">
        <v>127</v>
      </c>
      <c r="BK49" s="383">
        <v>11</v>
      </c>
      <c r="BL49" s="383">
        <f t="shared" si="70"/>
        <v>11</v>
      </c>
      <c r="BM49" s="383">
        <f t="shared" si="71"/>
        <v>0</v>
      </c>
      <c r="BN49" s="383">
        <f t="shared" si="72"/>
        <v>0</v>
      </c>
      <c r="BO49" s="383">
        <f t="shared" si="73"/>
        <v>0</v>
      </c>
      <c r="BP49" s="383">
        <f t="shared" si="74"/>
        <v>0</v>
      </c>
      <c r="BQ49" s="383">
        <f t="shared" si="75"/>
        <v>0</v>
      </c>
      <c r="BR49" s="383">
        <f t="shared" si="76"/>
        <v>0</v>
      </c>
      <c r="BS49" s="383">
        <f t="shared" si="77"/>
        <v>0</v>
      </c>
    </row>
    <row r="50" spans="1:71" ht="11.25">
      <c r="A50" s="60"/>
      <c r="B50" s="405"/>
      <c r="C50" s="382" t="s">
        <v>125</v>
      </c>
      <c r="D50" s="382" t="s">
        <v>126</v>
      </c>
      <c r="E50" s="383">
        <f>IF(ISERROR(VLOOKUP(C50,'CA Level'!$B$7:$D$86,3,FALSE)),0,VLOOKUP(C50,'CA Level'!$B$7:$D$86,3,FALSE))-'CA Level'!D33</f>
        <v>0</v>
      </c>
      <c r="F50" s="383"/>
      <c r="G50" s="397"/>
      <c r="H50" s="398"/>
      <c r="I50" s="417"/>
      <c r="J50" s="415"/>
      <c r="K50" s="46"/>
      <c r="L50" s="388" t="s">
        <v>6</v>
      </c>
      <c r="M50" s="389">
        <f t="shared" si="79"/>
        <v>1</v>
      </c>
      <c r="N50" s="389">
        <f t="shared" si="79"/>
        <v>0</v>
      </c>
      <c r="O50" s="389">
        <f t="shared" si="79"/>
        <v>0</v>
      </c>
      <c r="P50" s="389">
        <f t="shared" si="79"/>
        <v>0</v>
      </c>
      <c r="Q50" s="389">
        <f t="shared" si="79"/>
        <v>0</v>
      </c>
      <c r="R50" s="389">
        <f t="shared" si="79"/>
        <v>0</v>
      </c>
      <c r="S50" s="389">
        <f t="shared" si="79"/>
        <v>0</v>
      </c>
      <c r="T50" s="389">
        <f t="shared" si="79"/>
        <v>0</v>
      </c>
      <c r="U50" s="39">
        <f t="shared" si="17"/>
        <v>0</v>
      </c>
      <c r="W50" s="383">
        <f t="shared" si="18"/>
        <v>0</v>
      </c>
      <c r="X50" s="383">
        <f t="shared" si="19"/>
        <v>0</v>
      </c>
      <c r="Y50" s="383">
        <f t="shared" si="20"/>
        <v>0</v>
      </c>
      <c r="Z50" s="383">
        <f t="shared" si="21"/>
        <v>0</v>
      </c>
      <c r="AA50" s="383">
        <f t="shared" si="22"/>
        <v>0</v>
      </c>
      <c r="AB50" s="383">
        <f t="shared" si="23"/>
        <v>0</v>
      </c>
      <c r="AC50" s="383">
        <f t="shared" si="24"/>
        <v>0</v>
      </c>
      <c r="AD50" s="383">
        <f t="shared" si="25"/>
        <v>0</v>
      </c>
      <c r="AE50" s="58"/>
      <c r="AF50" s="383"/>
      <c r="AG50" s="383"/>
      <c r="AH50" s="383"/>
      <c r="AI50" s="383"/>
      <c r="AJ50" s="383"/>
      <c r="AK50" s="383"/>
      <c r="AL50" s="383"/>
      <c r="AM50" s="383"/>
      <c r="AP50" s="383"/>
      <c r="AQ50" s="383"/>
      <c r="AR50" s="383"/>
      <c r="AS50" s="383"/>
      <c r="AT50" s="383"/>
      <c r="AU50" s="383"/>
      <c r="AV50" s="383"/>
      <c r="AW50" s="383"/>
      <c r="AX50" s="58"/>
      <c r="AY50" s="383" t="s">
        <v>125</v>
      </c>
      <c r="AZ50" s="383">
        <v>20.2</v>
      </c>
      <c r="BA50" s="383">
        <f t="shared" si="62"/>
        <v>20.2</v>
      </c>
      <c r="BB50" s="383">
        <f t="shared" si="63"/>
        <v>0</v>
      </c>
      <c r="BC50" s="383">
        <f t="shared" si="64"/>
        <v>0</v>
      </c>
      <c r="BD50" s="383">
        <f t="shared" si="65"/>
        <v>0</v>
      </c>
      <c r="BE50" s="383">
        <f t="shared" si="66"/>
        <v>0</v>
      </c>
      <c r="BF50" s="383">
        <f t="shared" si="67"/>
        <v>0</v>
      </c>
      <c r="BG50" s="383">
        <f t="shared" si="68"/>
        <v>0</v>
      </c>
      <c r="BH50" s="383">
        <f t="shared" si="69"/>
        <v>0</v>
      </c>
      <c r="BJ50" s="382" t="s">
        <v>125</v>
      </c>
      <c r="BK50" s="383">
        <v>20.2</v>
      </c>
      <c r="BL50" s="383">
        <f t="shared" si="70"/>
        <v>20.2</v>
      </c>
      <c r="BM50" s="383">
        <f t="shared" si="71"/>
        <v>0</v>
      </c>
      <c r="BN50" s="383">
        <f t="shared" si="72"/>
        <v>0</v>
      </c>
      <c r="BO50" s="383">
        <f t="shared" si="73"/>
        <v>0</v>
      </c>
      <c r="BP50" s="383">
        <f t="shared" si="74"/>
        <v>0</v>
      </c>
      <c r="BQ50" s="383">
        <f t="shared" si="75"/>
        <v>0</v>
      </c>
      <c r="BR50" s="383">
        <f t="shared" si="76"/>
        <v>0</v>
      </c>
      <c r="BS50" s="383">
        <f t="shared" si="77"/>
        <v>0</v>
      </c>
    </row>
    <row r="51" spans="1:71" ht="11.25">
      <c r="A51" s="60"/>
      <c r="B51" s="405"/>
      <c r="C51" s="382" t="s">
        <v>123</v>
      </c>
      <c r="D51" s="382" t="s">
        <v>124</v>
      </c>
      <c r="E51" s="383">
        <f>IF(ISERROR(VLOOKUP(C51,'CA Level'!$B$7:$D$86,3,FALSE)),0,VLOOKUP(C51,'CA Level'!$B$7:$D$86,3,FALSE))</f>
        <v>0</v>
      </c>
      <c r="F51" s="383"/>
      <c r="G51" s="397"/>
      <c r="H51" s="398"/>
      <c r="I51" s="417"/>
      <c r="J51" s="415"/>
      <c r="K51" s="46"/>
      <c r="L51" s="388" t="s">
        <v>6</v>
      </c>
      <c r="M51" s="389">
        <f t="shared" si="79"/>
        <v>1</v>
      </c>
      <c r="N51" s="389">
        <f t="shared" si="79"/>
        <v>0</v>
      </c>
      <c r="O51" s="389">
        <f t="shared" si="79"/>
        <v>0</v>
      </c>
      <c r="P51" s="389">
        <f t="shared" si="79"/>
        <v>0</v>
      </c>
      <c r="Q51" s="389">
        <f t="shared" si="79"/>
        <v>0</v>
      </c>
      <c r="R51" s="389">
        <f t="shared" si="79"/>
        <v>0</v>
      </c>
      <c r="S51" s="389">
        <f t="shared" si="79"/>
        <v>0</v>
      </c>
      <c r="T51" s="389">
        <f t="shared" si="79"/>
        <v>0</v>
      </c>
      <c r="U51" s="39">
        <f t="shared" si="17"/>
        <v>0</v>
      </c>
      <c r="W51" s="383">
        <f t="shared" si="18"/>
        <v>0</v>
      </c>
      <c r="X51" s="383">
        <f t="shared" si="19"/>
        <v>0</v>
      </c>
      <c r="Y51" s="383">
        <f t="shared" si="20"/>
        <v>0</v>
      </c>
      <c r="Z51" s="383">
        <f t="shared" si="21"/>
        <v>0</v>
      </c>
      <c r="AA51" s="383">
        <f t="shared" si="22"/>
        <v>0</v>
      </c>
      <c r="AB51" s="383">
        <f t="shared" si="23"/>
        <v>0</v>
      </c>
      <c r="AC51" s="383">
        <f t="shared" si="24"/>
        <v>0</v>
      </c>
      <c r="AD51" s="383">
        <f t="shared" si="25"/>
        <v>0</v>
      </c>
      <c r="AE51" s="58"/>
      <c r="AF51" s="383"/>
      <c r="AG51" s="383"/>
      <c r="AH51" s="383"/>
      <c r="AI51" s="383"/>
      <c r="AJ51" s="383"/>
      <c r="AK51" s="383"/>
      <c r="AL51" s="383"/>
      <c r="AM51" s="383"/>
      <c r="AP51" s="383"/>
      <c r="AQ51" s="383"/>
      <c r="AR51" s="383"/>
      <c r="AS51" s="383"/>
      <c r="AT51" s="383"/>
      <c r="AU51" s="383"/>
      <c r="AV51" s="383"/>
      <c r="AW51" s="383"/>
      <c r="AX51" s="58"/>
      <c r="AY51" s="383" t="s">
        <v>123</v>
      </c>
      <c r="AZ51" s="383">
        <v>18.8</v>
      </c>
      <c r="BA51" s="383">
        <f t="shared" si="62"/>
        <v>18.8</v>
      </c>
      <c r="BB51" s="383">
        <f t="shared" si="63"/>
        <v>0</v>
      </c>
      <c r="BC51" s="383">
        <f t="shared" si="64"/>
        <v>0</v>
      </c>
      <c r="BD51" s="383">
        <f t="shared" si="65"/>
        <v>0</v>
      </c>
      <c r="BE51" s="383">
        <f t="shared" si="66"/>
        <v>0</v>
      </c>
      <c r="BF51" s="383">
        <f t="shared" si="67"/>
        <v>0</v>
      </c>
      <c r="BG51" s="383">
        <f t="shared" si="68"/>
        <v>0</v>
      </c>
      <c r="BH51" s="383">
        <f t="shared" si="69"/>
        <v>0</v>
      </c>
      <c r="BJ51" s="382" t="s">
        <v>123</v>
      </c>
      <c r="BK51" s="383">
        <v>18.8</v>
      </c>
      <c r="BL51" s="383">
        <f t="shared" si="70"/>
        <v>18.8</v>
      </c>
      <c r="BM51" s="383">
        <f t="shared" si="71"/>
        <v>0</v>
      </c>
      <c r="BN51" s="383">
        <f t="shared" si="72"/>
        <v>0</v>
      </c>
      <c r="BO51" s="383">
        <f t="shared" si="73"/>
        <v>0</v>
      </c>
      <c r="BP51" s="383">
        <f t="shared" si="74"/>
        <v>0</v>
      </c>
      <c r="BQ51" s="383">
        <f t="shared" si="75"/>
        <v>0</v>
      </c>
      <c r="BR51" s="383">
        <f t="shared" si="76"/>
        <v>0</v>
      </c>
      <c r="BS51" s="383">
        <f t="shared" si="77"/>
        <v>0</v>
      </c>
    </row>
    <row r="52" spans="1:71" ht="11.25">
      <c r="A52" s="60"/>
      <c r="B52" s="405"/>
      <c r="C52" s="406" t="s">
        <v>122</v>
      </c>
      <c r="D52" s="382" t="s">
        <v>231</v>
      </c>
      <c r="E52" s="383">
        <f>IF(ISERROR(VLOOKUP(C52,'CA Level'!$B$7:$D$86,3,FALSE)),0,VLOOKUP(C52,'CA Level'!$B$7:$D$86,3,FALSE))</f>
        <v>0</v>
      </c>
      <c r="F52" s="383">
        <v>101.69680000000002</v>
      </c>
      <c r="G52" s="397">
        <f>F52-E52</f>
        <v>101.69680000000002</v>
      </c>
      <c r="H52" s="398" t="str">
        <f>IF(E52=0,"'NA'",G52/E52)</f>
        <v>'NA'</v>
      </c>
      <c r="I52" s="417"/>
      <c r="J52" s="415"/>
      <c r="K52" s="46"/>
      <c r="L52" s="388" t="s">
        <v>6</v>
      </c>
      <c r="M52" s="389">
        <f t="shared" si="79"/>
        <v>1</v>
      </c>
      <c r="N52" s="389">
        <f t="shared" si="79"/>
        <v>0</v>
      </c>
      <c r="O52" s="389">
        <f t="shared" si="79"/>
        <v>0</v>
      </c>
      <c r="P52" s="389">
        <f t="shared" si="79"/>
        <v>0</v>
      </c>
      <c r="Q52" s="389">
        <f t="shared" si="79"/>
        <v>0</v>
      </c>
      <c r="R52" s="389">
        <f t="shared" si="79"/>
        <v>0</v>
      </c>
      <c r="S52" s="389">
        <f t="shared" si="79"/>
        <v>0</v>
      </c>
      <c r="T52" s="389">
        <f t="shared" si="79"/>
        <v>0</v>
      </c>
      <c r="U52" s="39">
        <f t="shared" si="17"/>
        <v>0</v>
      </c>
      <c r="W52" s="383">
        <f t="shared" si="18"/>
        <v>0</v>
      </c>
      <c r="X52" s="383">
        <f t="shared" si="19"/>
        <v>0</v>
      </c>
      <c r="Y52" s="383">
        <f t="shared" si="20"/>
        <v>0</v>
      </c>
      <c r="Z52" s="383">
        <f t="shared" si="21"/>
        <v>0</v>
      </c>
      <c r="AA52" s="383">
        <f t="shared" si="22"/>
        <v>0</v>
      </c>
      <c r="AB52" s="383">
        <f t="shared" si="23"/>
        <v>0</v>
      </c>
      <c r="AC52" s="383">
        <f t="shared" si="24"/>
        <v>0</v>
      </c>
      <c r="AD52" s="383">
        <f t="shared" si="25"/>
        <v>0</v>
      </c>
      <c r="AE52" s="58"/>
      <c r="AF52" s="383"/>
      <c r="AG52" s="383"/>
      <c r="AH52" s="383"/>
      <c r="AI52" s="383"/>
      <c r="AJ52" s="383"/>
      <c r="AK52" s="383"/>
      <c r="AL52" s="383"/>
      <c r="AM52" s="383"/>
      <c r="AP52" s="383">
        <f aca="true" t="shared" si="80" ref="AP52:AW52">$F52*M52</f>
        <v>101.69680000000002</v>
      </c>
      <c r="AQ52" s="383">
        <f t="shared" si="80"/>
        <v>0</v>
      </c>
      <c r="AR52" s="383">
        <f t="shared" si="80"/>
        <v>0</v>
      </c>
      <c r="AS52" s="383">
        <f t="shared" si="80"/>
        <v>0</v>
      </c>
      <c r="AT52" s="383">
        <f t="shared" si="80"/>
        <v>0</v>
      </c>
      <c r="AU52" s="383">
        <f t="shared" si="80"/>
        <v>0</v>
      </c>
      <c r="AV52" s="383">
        <f t="shared" si="80"/>
        <v>0</v>
      </c>
      <c r="AW52" s="383">
        <f t="shared" si="80"/>
        <v>0</v>
      </c>
      <c r="AX52" s="58"/>
      <c r="AY52" s="383" t="s">
        <v>122</v>
      </c>
      <c r="AZ52" s="383">
        <v>31.5</v>
      </c>
      <c r="BA52" s="383">
        <f t="shared" si="62"/>
        <v>31.5</v>
      </c>
      <c r="BB52" s="383">
        <f t="shared" si="63"/>
        <v>0</v>
      </c>
      <c r="BC52" s="383">
        <f t="shared" si="64"/>
        <v>0</v>
      </c>
      <c r="BD52" s="383">
        <f t="shared" si="65"/>
        <v>0</v>
      </c>
      <c r="BE52" s="383">
        <f t="shared" si="66"/>
        <v>0</v>
      </c>
      <c r="BF52" s="383">
        <f t="shared" si="67"/>
        <v>0</v>
      </c>
      <c r="BG52" s="383">
        <f t="shared" si="68"/>
        <v>0</v>
      </c>
      <c r="BH52" s="383">
        <f t="shared" si="69"/>
        <v>0</v>
      </c>
      <c r="BJ52" s="382" t="s">
        <v>122</v>
      </c>
      <c r="BK52" s="383">
        <v>63</v>
      </c>
      <c r="BL52" s="383">
        <f t="shared" si="70"/>
        <v>63</v>
      </c>
      <c r="BM52" s="383">
        <f t="shared" si="71"/>
        <v>0</v>
      </c>
      <c r="BN52" s="383">
        <f t="shared" si="72"/>
        <v>0</v>
      </c>
      <c r="BO52" s="383">
        <f t="shared" si="73"/>
        <v>0</v>
      </c>
      <c r="BP52" s="383">
        <f t="shared" si="74"/>
        <v>0</v>
      </c>
      <c r="BQ52" s="383">
        <f t="shared" si="75"/>
        <v>0</v>
      </c>
      <c r="BR52" s="383">
        <f t="shared" si="76"/>
        <v>0</v>
      </c>
      <c r="BS52" s="383">
        <f t="shared" si="77"/>
        <v>0</v>
      </c>
    </row>
    <row r="53" spans="1:71" ht="11.25">
      <c r="A53" s="60"/>
      <c r="B53" s="405"/>
      <c r="C53" s="382" t="s">
        <v>120</v>
      </c>
      <c r="D53" s="382" t="s">
        <v>121</v>
      </c>
      <c r="E53" s="383">
        <f>IF(ISERROR(VLOOKUP(C53,'CA Level'!$B$7:$D$86,3,FALSE)),0,VLOOKUP(C53,'CA Level'!$B$7:$D$86,3,FALSE))</f>
        <v>0</v>
      </c>
      <c r="F53" s="383"/>
      <c r="G53" s="397"/>
      <c r="H53" s="398"/>
      <c r="I53" s="417"/>
      <c r="J53" s="415"/>
      <c r="K53" s="46"/>
      <c r="L53" s="388" t="s">
        <v>6</v>
      </c>
      <c r="M53" s="389">
        <f t="shared" si="79"/>
        <v>1</v>
      </c>
      <c r="N53" s="389">
        <f t="shared" si="79"/>
        <v>0</v>
      </c>
      <c r="O53" s="389">
        <f t="shared" si="79"/>
        <v>0</v>
      </c>
      <c r="P53" s="389">
        <f t="shared" si="79"/>
        <v>0</v>
      </c>
      <c r="Q53" s="389">
        <f t="shared" si="79"/>
        <v>0</v>
      </c>
      <c r="R53" s="389">
        <f t="shared" si="79"/>
        <v>0</v>
      </c>
      <c r="S53" s="389">
        <f t="shared" si="79"/>
        <v>0</v>
      </c>
      <c r="T53" s="389">
        <f t="shared" si="79"/>
        <v>0</v>
      </c>
      <c r="U53" s="39">
        <f t="shared" si="17"/>
        <v>0</v>
      </c>
      <c r="W53" s="383">
        <f t="shared" si="18"/>
        <v>0</v>
      </c>
      <c r="X53" s="383">
        <f t="shared" si="19"/>
        <v>0</v>
      </c>
      <c r="Y53" s="383">
        <f t="shared" si="20"/>
        <v>0</v>
      </c>
      <c r="Z53" s="383">
        <f t="shared" si="21"/>
        <v>0</v>
      </c>
      <c r="AA53" s="383">
        <f t="shared" si="22"/>
        <v>0</v>
      </c>
      <c r="AB53" s="383">
        <f t="shared" si="23"/>
        <v>0</v>
      </c>
      <c r="AC53" s="383">
        <f t="shared" si="24"/>
        <v>0</v>
      </c>
      <c r="AD53" s="383">
        <f t="shared" si="25"/>
        <v>0</v>
      </c>
      <c r="AE53" s="58"/>
      <c r="AF53" s="383"/>
      <c r="AG53" s="383"/>
      <c r="AH53" s="383"/>
      <c r="AI53" s="383"/>
      <c r="AJ53" s="383"/>
      <c r="AK53" s="383"/>
      <c r="AL53" s="383"/>
      <c r="AM53" s="383"/>
      <c r="AP53" s="383"/>
      <c r="AQ53" s="383"/>
      <c r="AR53" s="383"/>
      <c r="AS53" s="383"/>
      <c r="AT53" s="383"/>
      <c r="AU53" s="383"/>
      <c r="AV53" s="383"/>
      <c r="AW53" s="383"/>
      <c r="AX53" s="58"/>
      <c r="AY53" s="383" t="s">
        <v>120</v>
      </c>
      <c r="AZ53" s="383">
        <v>7</v>
      </c>
      <c r="BA53" s="383">
        <f t="shared" si="62"/>
        <v>7</v>
      </c>
      <c r="BB53" s="383">
        <f t="shared" si="63"/>
        <v>0</v>
      </c>
      <c r="BC53" s="383">
        <f t="shared" si="64"/>
        <v>0</v>
      </c>
      <c r="BD53" s="383">
        <f t="shared" si="65"/>
        <v>0</v>
      </c>
      <c r="BE53" s="383">
        <f t="shared" si="66"/>
        <v>0</v>
      </c>
      <c r="BF53" s="383">
        <f t="shared" si="67"/>
        <v>0</v>
      </c>
      <c r="BG53" s="383">
        <f t="shared" si="68"/>
        <v>0</v>
      </c>
      <c r="BH53" s="383">
        <f t="shared" si="69"/>
        <v>0</v>
      </c>
      <c r="BJ53" s="382" t="s">
        <v>120</v>
      </c>
      <c r="BK53" s="383">
        <v>7</v>
      </c>
      <c r="BL53" s="383">
        <f t="shared" si="70"/>
        <v>7</v>
      </c>
      <c r="BM53" s="383">
        <f t="shared" si="71"/>
        <v>0</v>
      </c>
      <c r="BN53" s="383">
        <f t="shared" si="72"/>
        <v>0</v>
      </c>
      <c r="BO53" s="383">
        <f t="shared" si="73"/>
        <v>0</v>
      </c>
      <c r="BP53" s="383">
        <f t="shared" si="74"/>
        <v>0</v>
      </c>
      <c r="BQ53" s="383">
        <f t="shared" si="75"/>
        <v>0</v>
      </c>
      <c r="BR53" s="383">
        <f t="shared" si="76"/>
        <v>0</v>
      </c>
      <c r="BS53" s="383">
        <f t="shared" si="77"/>
        <v>0</v>
      </c>
    </row>
    <row r="54" spans="1:71" ht="11.25">
      <c r="A54" s="60"/>
      <c r="B54" s="405"/>
      <c r="C54" s="406" t="s">
        <v>119</v>
      </c>
      <c r="D54" s="382" t="s">
        <v>230</v>
      </c>
      <c r="E54" s="383">
        <f>IF(ISERROR(VLOOKUP(C54,'CA Level'!$B$7:$D$86,3,FALSE)),0,VLOOKUP(C54,'CA Level'!$B$7:$D$86,3,FALSE))</f>
        <v>0</v>
      </c>
      <c r="F54" s="383">
        <v>183.05825</v>
      </c>
      <c r="G54" s="397">
        <f aca="true" t="shared" si="81" ref="G54:G85">F54-E54</f>
        <v>183.05825</v>
      </c>
      <c r="H54" s="398" t="str">
        <f aca="true" t="shared" si="82" ref="H54:H85">IF(E54=0,"'NA'",G54/E54)</f>
        <v>'NA'</v>
      </c>
      <c r="I54" s="417"/>
      <c r="J54" s="415"/>
      <c r="K54" s="46"/>
      <c r="L54" s="388" t="s">
        <v>17</v>
      </c>
      <c r="M54" s="389">
        <f t="shared" si="79"/>
        <v>0</v>
      </c>
      <c r="N54" s="389">
        <f t="shared" si="79"/>
        <v>0</v>
      </c>
      <c r="O54" s="389">
        <f t="shared" si="79"/>
        <v>1</v>
      </c>
      <c r="P54" s="389">
        <f t="shared" si="79"/>
        <v>0</v>
      </c>
      <c r="Q54" s="389">
        <f t="shared" si="79"/>
        <v>0</v>
      </c>
      <c r="R54" s="389">
        <f t="shared" si="79"/>
        <v>0</v>
      </c>
      <c r="S54" s="389">
        <f t="shared" si="79"/>
        <v>0</v>
      </c>
      <c r="T54" s="389">
        <f t="shared" si="79"/>
        <v>0</v>
      </c>
      <c r="U54" s="39">
        <f t="shared" si="17"/>
        <v>0</v>
      </c>
      <c r="W54" s="383">
        <f t="shared" si="18"/>
        <v>0</v>
      </c>
      <c r="X54" s="383">
        <f t="shared" si="19"/>
        <v>0</v>
      </c>
      <c r="Y54" s="383">
        <f t="shared" si="20"/>
        <v>0</v>
      </c>
      <c r="Z54" s="383">
        <f t="shared" si="21"/>
        <v>0</v>
      </c>
      <c r="AA54" s="383">
        <f t="shared" si="22"/>
        <v>0</v>
      </c>
      <c r="AB54" s="383">
        <f t="shared" si="23"/>
        <v>0</v>
      </c>
      <c r="AC54" s="383">
        <f t="shared" si="24"/>
        <v>0</v>
      </c>
      <c r="AD54" s="383">
        <f t="shared" si="25"/>
        <v>0</v>
      </c>
      <c r="AE54" s="58"/>
      <c r="AF54" s="383"/>
      <c r="AG54" s="383"/>
      <c r="AH54" s="383"/>
      <c r="AI54" s="383"/>
      <c r="AJ54" s="383"/>
      <c r="AK54" s="383"/>
      <c r="AL54" s="383"/>
      <c r="AM54" s="383"/>
      <c r="AP54" s="383">
        <f aca="true" t="shared" si="83" ref="AP54:AP71">$F54*M54</f>
        <v>0</v>
      </c>
      <c r="AQ54" s="383">
        <f aca="true" t="shared" si="84" ref="AQ54:AQ71">$F54*N54</f>
        <v>0</v>
      </c>
      <c r="AR54" s="383">
        <f aca="true" t="shared" si="85" ref="AR54:AR71">$F54*O54</f>
        <v>183.05825</v>
      </c>
      <c r="AS54" s="383">
        <f aca="true" t="shared" si="86" ref="AS54:AS71">$F54*P54</f>
        <v>0</v>
      </c>
      <c r="AT54" s="383">
        <f aca="true" t="shared" si="87" ref="AT54:AT71">$F54*Q54</f>
        <v>0</v>
      </c>
      <c r="AU54" s="383">
        <f aca="true" t="shared" si="88" ref="AU54:AU71">$F54*R54</f>
        <v>0</v>
      </c>
      <c r="AV54" s="383">
        <f aca="true" t="shared" si="89" ref="AV54:AV71">$F54*S54</f>
        <v>0</v>
      </c>
      <c r="AW54" s="383">
        <f aca="true" t="shared" si="90" ref="AW54:AW71">$F54*T54</f>
        <v>0</v>
      </c>
      <c r="AX54" s="58"/>
      <c r="AY54" s="383"/>
      <c r="AZ54" s="383"/>
      <c r="BA54" s="383">
        <f t="shared" si="62"/>
        <v>0</v>
      </c>
      <c r="BB54" s="383">
        <f t="shared" si="63"/>
        <v>0</v>
      </c>
      <c r="BC54" s="383">
        <f t="shared" si="64"/>
        <v>0</v>
      </c>
      <c r="BD54" s="383">
        <f t="shared" si="65"/>
        <v>0</v>
      </c>
      <c r="BE54" s="383">
        <f t="shared" si="66"/>
        <v>0</v>
      </c>
      <c r="BF54" s="383">
        <f t="shared" si="67"/>
        <v>0</v>
      </c>
      <c r="BG54" s="383">
        <f t="shared" si="68"/>
        <v>0</v>
      </c>
      <c r="BH54" s="383">
        <f t="shared" si="69"/>
        <v>0</v>
      </c>
      <c r="BJ54" s="382" t="s">
        <v>119</v>
      </c>
      <c r="BK54" s="383">
        <v>61</v>
      </c>
      <c r="BL54" s="383">
        <f t="shared" si="70"/>
        <v>0</v>
      </c>
      <c r="BM54" s="383">
        <f t="shared" si="71"/>
        <v>0</v>
      </c>
      <c r="BN54" s="383">
        <f t="shared" si="72"/>
        <v>61</v>
      </c>
      <c r="BO54" s="383">
        <f t="shared" si="73"/>
        <v>0</v>
      </c>
      <c r="BP54" s="383">
        <f t="shared" si="74"/>
        <v>0</v>
      </c>
      <c r="BQ54" s="383">
        <f t="shared" si="75"/>
        <v>0</v>
      </c>
      <c r="BR54" s="383">
        <f t="shared" si="76"/>
        <v>0</v>
      </c>
      <c r="BS54" s="383">
        <f t="shared" si="77"/>
        <v>0</v>
      </c>
    </row>
    <row r="55" spans="1:71" ht="11.25">
      <c r="A55" s="60"/>
      <c r="B55" s="405"/>
      <c r="C55" s="406" t="s">
        <v>118</v>
      </c>
      <c r="D55" s="382" t="s">
        <v>229</v>
      </c>
      <c r="E55" s="383">
        <f>IF(ISERROR(VLOOKUP(C55,'CA Level'!$B$7:$D$86,3,FALSE)),0,VLOOKUP(C55,'CA Level'!$B$7:$D$86,3,FALSE))</f>
        <v>0</v>
      </c>
      <c r="F55" s="383">
        <v>6.99996</v>
      </c>
      <c r="G55" s="397">
        <f t="shared" si="81"/>
        <v>6.99996</v>
      </c>
      <c r="H55" s="398" t="str">
        <f t="shared" si="82"/>
        <v>'NA'</v>
      </c>
      <c r="I55" s="417"/>
      <c r="J55" s="415"/>
      <c r="K55" s="46"/>
      <c r="L55" s="388" t="s">
        <v>17</v>
      </c>
      <c r="M55" s="389">
        <f t="shared" si="79"/>
        <v>0</v>
      </c>
      <c r="N55" s="389">
        <f t="shared" si="79"/>
        <v>0</v>
      </c>
      <c r="O55" s="389">
        <f t="shared" si="79"/>
        <v>1</v>
      </c>
      <c r="P55" s="389">
        <f t="shared" si="79"/>
        <v>0</v>
      </c>
      <c r="Q55" s="389">
        <f t="shared" si="79"/>
        <v>0</v>
      </c>
      <c r="R55" s="389">
        <f t="shared" si="79"/>
        <v>0</v>
      </c>
      <c r="S55" s="389">
        <f t="shared" si="79"/>
        <v>0</v>
      </c>
      <c r="T55" s="389">
        <f t="shared" si="79"/>
        <v>0</v>
      </c>
      <c r="U55" s="39">
        <f t="shared" si="17"/>
        <v>0</v>
      </c>
      <c r="W55" s="383">
        <f t="shared" si="18"/>
        <v>0</v>
      </c>
      <c r="X55" s="383">
        <f t="shared" si="19"/>
        <v>0</v>
      </c>
      <c r="Y55" s="383">
        <f t="shared" si="20"/>
        <v>0</v>
      </c>
      <c r="Z55" s="383">
        <f t="shared" si="21"/>
        <v>0</v>
      </c>
      <c r="AA55" s="383">
        <f t="shared" si="22"/>
        <v>0</v>
      </c>
      <c r="AB55" s="383">
        <f t="shared" si="23"/>
        <v>0</v>
      </c>
      <c r="AC55" s="383">
        <f t="shared" si="24"/>
        <v>0</v>
      </c>
      <c r="AD55" s="383">
        <f t="shared" si="25"/>
        <v>0</v>
      </c>
      <c r="AE55" s="58"/>
      <c r="AF55" s="383"/>
      <c r="AG55" s="383"/>
      <c r="AH55" s="383"/>
      <c r="AI55" s="383"/>
      <c r="AJ55" s="383"/>
      <c r="AK55" s="383"/>
      <c r="AL55" s="383"/>
      <c r="AM55" s="383"/>
      <c r="AP55" s="383">
        <f t="shared" si="83"/>
        <v>0</v>
      </c>
      <c r="AQ55" s="383">
        <f t="shared" si="84"/>
        <v>0</v>
      </c>
      <c r="AR55" s="383">
        <f t="shared" si="85"/>
        <v>6.99996</v>
      </c>
      <c r="AS55" s="383">
        <f t="shared" si="86"/>
        <v>0</v>
      </c>
      <c r="AT55" s="383">
        <f t="shared" si="87"/>
        <v>0</v>
      </c>
      <c r="AU55" s="383">
        <f t="shared" si="88"/>
        <v>0</v>
      </c>
      <c r="AV55" s="383">
        <f t="shared" si="89"/>
        <v>0</v>
      </c>
      <c r="AW55" s="383">
        <f t="shared" si="90"/>
        <v>0</v>
      </c>
      <c r="AX55" s="58"/>
      <c r="AY55" s="383"/>
      <c r="AZ55" s="383"/>
      <c r="BA55" s="383">
        <f t="shared" si="62"/>
        <v>0</v>
      </c>
      <c r="BB55" s="383">
        <f t="shared" si="63"/>
        <v>0</v>
      </c>
      <c r="BC55" s="383">
        <f t="shared" si="64"/>
        <v>0</v>
      </c>
      <c r="BD55" s="383">
        <f t="shared" si="65"/>
        <v>0</v>
      </c>
      <c r="BE55" s="383">
        <f t="shared" si="66"/>
        <v>0</v>
      </c>
      <c r="BF55" s="383">
        <f t="shared" si="67"/>
        <v>0</v>
      </c>
      <c r="BG55" s="383">
        <f t="shared" si="68"/>
        <v>0</v>
      </c>
      <c r="BH55" s="383">
        <f t="shared" si="69"/>
        <v>0</v>
      </c>
      <c r="BJ55" s="382" t="s">
        <v>118</v>
      </c>
      <c r="BK55" s="383">
        <v>7</v>
      </c>
      <c r="BL55" s="383">
        <f t="shared" si="70"/>
        <v>0</v>
      </c>
      <c r="BM55" s="383">
        <f t="shared" si="71"/>
        <v>0</v>
      </c>
      <c r="BN55" s="383">
        <f t="shared" si="72"/>
        <v>7</v>
      </c>
      <c r="BO55" s="383">
        <f t="shared" si="73"/>
        <v>0</v>
      </c>
      <c r="BP55" s="383">
        <f t="shared" si="74"/>
        <v>0</v>
      </c>
      <c r="BQ55" s="383">
        <f t="shared" si="75"/>
        <v>0</v>
      </c>
      <c r="BR55" s="383">
        <f t="shared" si="76"/>
        <v>0</v>
      </c>
      <c r="BS55" s="383">
        <f t="shared" si="77"/>
        <v>0</v>
      </c>
    </row>
    <row r="56" spans="1:71" ht="11.25">
      <c r="A56" s="60"/>
      <c r="B56" s="405"/>
      <c r="C56" s="406" t="s">
        <v>117</v>
      </c>
      <c r="D56" s="382" t="s">
        <v>228</v>
      </c>
      <c r="E56" s="383">
        <f>IF(ISERROR(VLOOKUP(C56,'CA Level'!$B$7:$D$86,3,FALSE)),0,VLOOKUP(C56,'CA Level'!$B$7:$D$86,3,FALSE))</f>
        <v>0</v>
      </c>
      <c r="F56" s="383">
        <v>30.54708</v>
      </c>
      <c r="G56" s="397">
        <f t="shared" si="81"/>
        <v>30.54708</v>
      </c>
      <c r="H56" s="398" t="str">
        <f t="shared" si="82"/>
        <v>'NA'</v>
      </c>
      <c r="I56" s="417"/>
      <c r="J56" s="415"/>
      <c r="K56" s="46"/>
      <c r="L56" s="388" t="s">
        <v>17</v>
      </c>
      <c r="M56" s="389">
        <f t="shared" si="79"/>
        <v>0</v>
      </c>
      <c r="N56" s="389">
        <f t="shared" si="79"/>
        <v>0</v>
      </c>
      <c r="O56" s="389">
        <f t="shared" si="79"/>
        <v>1</v>
      </c>
      <c r="P56" s="389">
        <f t="shared" si="79"/>
        <v>0</v>
      </c>
      <c r="Q56" s="389">
        <f t="shared" si="79"/>
        <v>0</v>
      </c>
      <c r="R56" s="389">
        <f t="shared" si="79"/>
        <v>0</v>
      </c>
      <c r="S56" s="389">
        <f t="shared" si="79"/>
        <v>0</v>
      </c>
      <c r="T56" s="389">
        <f t="shared" si="79"/>
        <v>0</v>
      </c>
      <c r="U56" s="39">
        <f aca="true" t="shared" si="91" ref="U56:U87">SUM(M56:T56)-1</f>
        <v>0</v>
      </c>
      <c r="W56" s="383">
        <f aca="true" t="shared" si="92" ref="W56:W87">$E56*M56</f>
        <v>0</v>
      </c>
      <c r="X56" s="383">
        <f aca="true" t="shared" si="93" ref="X56:X87">$E56*N56</f>
        <v>0</v>
      </c>
      <c r="Y56" s="383">
        <f aca="true" t="shared" si="94" ref="Y56:Y87">$E56*O56</f>
        <v>0</v>
      </c>
      <c r="Z56" s="383">
        <f aca="true" t="shared" si="95" ref="Z56:Z87">$E56*P56</f>
        <v>0</v>
      </c>
      <c r="AA56" s="383">
        <f aca="true" t="shared" si="96" ref="AA56:AA87">$E56*Q56</f>
        <v>0</v>
      </c>
      <c r="AB56" s="383">
        <f aca="true" t="shared" si="97" ref="AB56:AB87">$E56*R56</f>
        <v>0</v>
      </c>
      <c r="AC56" s="383">
        <f aca="true" t="shared" si="98" ref="AC56:AC87">$E56*S56</f>
        <v>0</v>
      </c>
      <c r="AD56" s="383">
        <f aca="true" t="shared" si="99" ref="AD56:AD87">$E56*T56</f>
        <v>0</v>
      </c>
      <c r="AE56" s="58"/>
      <c r="AF56" s="383"/>
      <c r="AG56" s="383"/>
      <c r="AH56" s="383"/>
      <c r="AI56" s="383"/>
      <c r="AJ56" s="383"/>
      <c r="AK56" s="383"/>
      <c r="AL56" s="383"/>
      <c r="AM56" s="383"/>
      <c r="AP56" s="383">
        <f t="shared" si="83"/>
        <v>0</v>
      </c>
      <c r="AQ56" s="383">
        <f t="shared" si="84"/>
        <v>0</v>
      </c>
      <c r="AR56" s="383">
        <f t="shared" si="85"/>
        <v>30.54708</v>
      </c>
      <c r="AS56" s="383">
        <f t="shared" si="86"/>
        <v>0</v>
      </c>
      <c r="AT56" s="383">
        <f t="shared" si="87"/>
        <v>0</v>
      </c>
      <c r="AU56" s="383">
        <f t="shared" si="88"/>
        <v>0</v>
      </c>
      <c r="AV56" s="383">
        <f t="shared" si="89"/>
        <v>0</v>
      </c>
      <c r="AW56" s="383">
        <f t="shared" si="90"/>
        <v>0</v>
      </c>
      <c r="AX56" s="58"/>
      <c r="AY56" s="383"/>
      <c r="AZ56" s="383"/>
      <c r="BA56" s="383">
        <f t="shared" si="62"/>
        <v>0</v>
      </c>
      <c r="BB56" s="383">
        <f t="shared" si="63"/>
        <v>0</v>
      </c>
      <c r="BC56" s="383">
        <f t="shared" si="64"/>
        <v>0</v>
      </c>
      <c r="BD56" s="383">
        <f t="shared" si="65"/>
        <v>0</v>
      </c>
      <c r="BE56" s="383">
        <f t="shared" si="66"/>
        <v>0</v>
      </c>
      <c r="BF56" s="383">
        <f t="shared" si="67"/>
        <v>0</v>
      </c>
      <c r="BG56" s="383">
        <f t="shared" si="68"/>
        <v>0</v>
      </c>
      <c r="BH56" s="383">
        <f t="shared" si="69"/>
        <v>0</v>
      </c>
      <c r="BJ56" s="382" t="s">
        <v>117</v>
      </c>
      <c r="BK56" s="383">
        <v>30</v>
      </c>
      <c r="BL56" s="383">
        <f t="shared" si="70"/>
        <v>0</v>
      </c>
      <c r="BM56" s="383">
        <f t="shared" si="71"/>
        <v>0</v>
      </c>
      <c r="BN56" s="383">
        <f t="shared" si="72"/>
        <v>30</v>
      </c>
      <c r="BO56" s="383">
        <f t="shared" si="73"/>
        <v>0</v>
      </c>
      <c r="BP56" s="383">
        <f t="shared" si="74"/>
        <v>0</v>
      </c>
      <c r="BQ56" s="383">
        <f t="shared" si="75"/>
        <v>0</v>
      </c>
      <c r="BR56" s="383">
        <f t="shared" si="76"/>
        <v>0</v>
      </c>
      <c r="BS56" s="383">
        <f t="shared" si="77"/>
        <v>0</v>
      </c>
    </row>
    <row r="57" spans="1:71" ht="11.25">
      <c r="A57" s="60"/>
      <c r="B57" s="405"/>
      <c r="C57" s="406" t="s">
        <v>116</v>
      </c>
      <c r="D57" s="382" t="s">
        <v>227</v>
      </c>
      <c r="E57" s="383">
        <f>IF(ISERROR(VLOOKUP(C57,'CA Level'!$B$7:$D$86,3,FALSE)),0,VLOOKUP(C57,'CA Level'!$B$7:$D$86,3,FALSE))</f>
        <v>0</v>
      </c>
      <c r="F57" s="383">
        <v>271.49871</v>
      </c>
      <c r="G57" s="397">
        <f t="shared" si="81"/>
        <v>271.49871</v>
      </c>
      <c r="H57" s="398" t="str">
        <f t="shared" si="82"/>
        <v>'NA'</v>
      </c>
      <c r="I57" s="417"/>
      <c r="J57" s="415"/>
      <c r="K57" s="46"/>
      <c r="L57" s="388" t="s">
        <v>17</v>
      </c>
      <c r="M57" s="389">
        <f t="shared" si="79"/>
        <v>0</v>
      </c>
      <c r="N57" s="389">
        <f t="shared" si="79"/>
        <v>0</v>
      </c>
      <c r="O57" s="389">
        <f t="shared" si="79"/>
        <v>1</v>
      </c>
      <c r="P57" s="389">
        <f t="shared" si="79"/>
        <v>0</v>
      </c>
      <c r="Q57" s="389">
        <f t="shared" si="79"/>
        <v>0</v>
      </c>
      <c r="R57" s="389">
        <f t="shared" si="79"/>
        <v>0</v>
      </c>
      <c r="S57" s="389">
        <f t="shared" si="79"/>
        <v>0</v>
      </c>
      <c r="T57" s="389">
        <f t="shared" si="79"/>
        <v>0</v>
      </c>
      <c r="U57" s="39">
        <f t="shared" si="91"/>
        <v>0</v>
      </c>
      <c r="W57" s="383">
        <f t="shared" si="92"/>
        <v>0</v>
      </c>
      <c r="X57" s="383">
        <f t="shared" si="93"/>
        <v>0</v>
      </c>
      <c r="Y57" s="383">
        <f t="shared" si="94"/>
        <v>0</v>
      </c>
      <c r="Z57" s="383">
        <f t="shared" si="95"/>
        <v>0</v>
      </c>
      <c r="AA57" s="383">
        <f t="shared" si="96"/>
        <v>0</v>
      </c>
      <c r="AB57" s="383">
        <f t="shared" si="97"/>
        <v>0</v>
      </c>
      <c r="AC57" s="383">
        <f t="shared" si="98"/>
        <v>0</v>
      </c>
      <c r="AD57" s="383">
        <f t="shared" si="99"/>
        <v>0</v>
      </c>
      <c r="AE57" s="58"/>
      <c r="AF57" s="383"/>
      <c r="AG57" s="383"/>
      <c r="AH57" s="383"/>
      <c r="AI57" s="383"/>
      <c r="AJ57" s="383"/>
      <c r="AK57" s="383"/>
      <c r="AL57" s="383"/>
      <c r="AM57" s="383"/>
      <c r="AP57" s="383">
        <f t="shared" si="83"/>
        <v>0</v>
      </c>
      <c r="AQ57" s="383">
        <f t="shared" si="84"/>
        <v>0</v>
      </c>
      <c r="AR57" s="383">
        <f t="shared" si="85"/>
        <v>271.49871</v>
      </c>
      <c r="AS57" s="383">
        <f t="shared" si="86"/>
        <v>0</v>
      </c>
      <c r="AT57" s="383">
        <f t="shared" si="87"/>
        <v>0</v>
      </c>
      <c r="AU57" s="383">
        <f t="shared" si="88"/>
        <v>0</v>
      </c>
      <c r="AV57" s="383">
        <f t="shared" si="89"/>
        <v>0</v>
      </c>
      <c r="AW57" s="383">
        <f t="shared" si="90"/>
        <v>0</v>
      </c>
      <c r="AX57" s="58"/>
      <c r="AY57" s="383"/>
      <c r="AZ57" s="383"/>
      <c r="BA57" s="383">
        <f t="shared" si="62"/>
        <v>0</v>
      </c>
      <c r="BB57" s="383">
        <f t="shared" si="63"/>
        <v>0</v>
      </c>
      <c r="BC57" s="383">
        <f t="shared" si="64"/>
        <v>0</v>
      </c>
      <c r="BD57" s="383">
        <f t="shared" si="65"/>
        <v>0</v>
      </c>
      <c r="BE57" s="383">
        <f t="shared" si="66"/>
        <v>0</v>
      </c>
      <c r="BF57" s="383">
        <f t="shared" si="67"/>
        <v>0</v>
      </c>
      <c r="BG57" s="383">
        <f t="shared" si="68"/>
        <v>0</v>
      </c>
      <c r="BH57" s="383">
        <f t="shared" si="69"/>
        <v>0</v>
      </c>
      <c r="BJ57" s="382" t="s">
        <v>116</v>
      </c>
      <c r="BK57" s="383">
        <v>85</v>
      </c>
      <c r="BL57" s="383">
        <f t="shared" si="70"/>
        <v>0</v>
      </c>
      <c r="BM57" s="383">
        <f t="shared" si="71"/>
        <v>0</v>
      </c>
      <c r="BN57" s="383">
        <f t="shared" si="72"/>
        <v>85</v>
      </c>
      <c r="BO57" s="383">
        <f t="shared" si="73"/>
        <v>0</v>
      </c>
      <c r="BP57" s="383">
        <f t="shared" si="74"/>
        <v>0</v>
      </c>
      <c r="BQ57" s="383">
        <f t="shared" si="75"/>
        <v>0</v>
      </c>
      <c r="BR57" s="383">
        <f t="shared" si="76"/>
        <v>0</v>
      </c>
      <c r="BS57" s="383">
        <f t="shared" si="77"/>
        <v>0</v>
      </c>
    </row>
    <row r="58" spans="1:71" ht="11.25">
      <c r="A58" s="60"/>
      <c r="B58" s="405"/>
      <c r="C58" s="406" t="s">
        <v>115</v>
      </c>
      <c r="D58" s="382" t="s">
        <v>226</v>
      </c>
      <c r="E58" s="383">
        <f>IF(ISERROR(VLOOKUP(C58,'CA Level'!$B$7:$D$86,3,FALSE)),0,VLOOKUP(C58,'CA Level'!$B$7:$D$86,3,FALSE))</f>
        <v>0</v>
      </c>
      <c r="F58" s="383">
        <v>9.90016</v>
      </c>
      <c r="G58" s="397">
        <f t="shared" si="81"/>
        <v>9.90016</v>
      </c>
      <c r="H58" s="398" t="str">
        <f t="shared" si="82"/>
        <v>'NA'</v>
      </c>
      <c r="I58" s="417"/>
      <c r="J58" s="415"/>
      <c r="K58" s="46"/>
      <c r="L58" s="388" t="s">
        <v>17</v>
      </c>
      <c r="M58" s="389">
        <f t="shared" si="79"/>
        <v>0</v>
      </c>
      <c r="N58" s="389">
        <f t="shared" si="79"/>
        <v>0</v>
      </c>
      <c r="O58" s="389">
        <f t="shared" si="79"/>
        <v>1</v>
      </c>
      <c r="P58" s="389">
        <f t="shared" si="79"/>
        <v>0</v>
      </c>
      <c r="Q58" s="389">
        <f t="shared" si="79"/>
        <v>0</v>
      </c>
      <c r="R58" s="389">
        <f t="shared" si="79"/>
        <v>0</v>
      </c>
      <c r="S58" s="389">
        <f t="shared" si="79"/>
        <v>0</v>
      </c>
      <c r="T58" s="389">
        <f t="shared" si="79"/>
        <v>0</v>
      </c>
      <c r="U58" s="39">
        <f t="shared" si="91"/>
        <v>0</v>
      </c>
      <c r="W58" s="383">
        <f t="shared" si="92"/>
        <v>0</v>
      </c>
      <c r="X58" s="383">
        <f t="shared" si="93"/>
        <v>0</v>
      </c>
      <c r="Y58" s="383">
        <f t="shared" si="94"/>
        <v>0</v>
      </c>
      <c r="Z58" s="383">
        <f t="shared" si="95"/>
        <v>0</v>
      </c>
      <c r="AA58" s="383">
        <f t="shared" si="96"/>
        <v>0</v>
      </c>
      <c r="AB58" s="383">
        <f t="shared" si="97"/>
        <v>0</v>
      </c>
      <c r="AC58" s="383">
        <f t="shared" si="98"/>
        <v>0</v>
      </c>
      <c r="AD58" s="383">
        <f t="shared" si="99"/>
        <v>0</v>
      </c>
      <c r="AE58" s="58"/>
      <c r="AF58" s="383"/>
      <c r="AG58" s="383"/>
      <c r="AH58" s="383"/>
      <c r="AI58" s="383"/>
      <c r="AJ58" s="383"/>
      <c r="AK58" s="383"/>
      <c r="AL58" s="383"/>
      <c r="AM58" s="383"/>
      <c r="AP58" s="383">
        <f t="shared" si="83"/>
        <v>0</v>
      </c>
      <c r="AQ58" s="383">
        <f t="shared" si="84"/>
        <v>0</v>
      </c>
      <c r="AR58" s="383">
        <f t="shared" si="85"/>
        <v>9.90016</v>
      </c>
      <c r="AS58" s="383">
        <f t="shared" si="86"/>
        <v>0</v>
      </c>
      <c r="AT58" s="383">
        <f t="shared" si="87"/>
        <v>0</v>
      </c>
      <c r="AU58" s="383">
        <f t="shared" si="88"/>
        <v>0</v>
      </c>
      <c r="AV58" s="383">
        <f t="shared" si="89"/>
        <v>0</v>
      </c>
      <c r="AW58" s="383">
        <f t="shared" si="90"/>
        <v>0</v>
      </c>
      <c r="AX58" s="58"/>
      <c r="AY58" s="383"/>
      <c r="AZ58" s="383"/>
      <c r="BA58" s="383">
        <f t="shared" si="62"/>
        <v>0</v>
      </c>
      <c r="BB58" s="383">
        <f t="shared" si="63"/>
        <v>0</v>
      </c>
      <c r="BC58" s="383">
        <f t="shared" si="64"/>
        <v>0</v>
      </c>
      <c r="BD58" s="383">
        <f t="shared" si="65"/>
        <v>0</v>
      </c>
      <c r="BE58" s="383">
        <f t="shared" si="66"/>
        <v>0</v>
      </c>
      <c r="BF58" s="383">
        <f t="shared" si="67"/>
        <v>0</v>
      </c>
      <c r="BG58" s="383">
        <f t="shared" si="68"/>
        <v>0</v>
      </c>
      <c r="BH58" s="383">
        <f t="shared" si="69"/>
        <v>0</v>
      </c>
      <c r="BJ58" s="382" t="s">
        <v>115</v>
      </c>
      <c r="BK58" s="383">
        <v>10</v>
      </c>
      <c r="BL58" s="383">
        <f t="shared" si="70"/>
        <v>0</v>
      </c>
      <c r="BM58" s="383">
        <f t="shared" si="71"/>
        <v>0</v>
      </c>
      <c r="BN58" s="383">
        <f t="shared" si="72"/>
        <v>10</v>
      </c>
      <c r="BO58" s="383">
        <f t="shared" si="73"/>
        <v>0</v>
      </c>
      <c r="BP58" s="383">
        <f t="shared" si="74"/>
        <v>0</v>
      </c>
      <c r="BQ58" s="383">
        <f t="shared" si="75"/>
        <v>0</v>
      </c>
      <c r="BR58" s="383">
        <f t="shared" si="76"/>
        <v>0</v>
      </c>
      <c r="BS58" s="383">
        <f t="shared" si="77"/>
        <v>0</v>
      </c>
    </row>
    <row r="59" spans="1:71" ht="11.25">
      <c r="A59" s="60"/>
      <c r="B59" s="405"/>
      <c r="C59" s="406" t="s">
        <v>114</v>
      </c>
      <c r="D59" s="382" t="s">
        <v>225</v>
      </c>
      <c r="E59" s="383">
        <f>IF(ISERROR(VLOOKUP(C59,'CA Level'!$B$7:$D$86,3,FALSE)),0,VLOOKUP(C59,'CA Level'!$B$7:$D$86,3,FALSE))</f>
        <v>0</v>
      </c>
      <c r="F59" s="383">
        <v>611.88099</v>
      </c>
      <c r="G59" s="397">
        <f t="shared" si="81"/>
        <v>611.88099</v>
      </c>
      <c r="H59" s="398" t="str">
        <f t="shared" si="82"/>
        <v>'NA'</v>
      </c>
      <c r="I59" s="417"/>
      <c r="J59" s="415"/>
      <c r="K59" s="46"/>
      <c r="L59" s="388" t="s">
        <v>17</v>
      </c>
      <c r="M59" s="389">
        <f t="shared" si="79"/>
        <v>0</v>
      </c>
      <c r="N59" s="389">
        <f t="shared" si="79"/>
        <v>0</v>
      </c>
      <c r="O59" s="389">
        <f t="shared" si="79"/>
        <v>1</v>
      </c>
      <c r="P59" s="389">
        <f t="shared" si="79"/>
        <v>0</v>
      </c>
      <c r="Q59" s="389">
        <f t="shared" si="79"/>
        <v>0</v>
      </c>
      <c r="R59" s="389">
        <f t="shared" si="79"/>
        <v>0</v>
      </c>
      <c r="S59" s="389">
        <f t="shared" si="79"/>
        <v>0</v>
      </c>
      <c r="T59" s="389">
        <f t="shared" si="79"/>
        <v>0</v>
      </c>
      <c r="U59" s="39">
        <f t="shared" si="91"/>
        <v>0</v>
      </c>
      <c r="W59" s="383">
        <f t="shared" si="92"/>
        <v>0</v>
      </c>
      <c r="X59" s="383">
        <f t="shared" si="93"/>
        <v>0</v>
      </c>
      <c r="Y59" s="383">
        <f t="shared" si="94"/>
        <v>0</v>
      </c>
      <c r="Z59" s="383">
        <f t="shared" si="95"/>
        <v>0</v>
      </c>
      <c r="AA59" s="383">
        <f t="shared" si="96"/>
        <v>0</v>
      </c>
      <c r="AB59" s="383">
        <f t="shared" si="97"/>
        <v>0</v>
      </c>
      <c r="AC59" s="383">
        <f t="shared" si="98"/>
        <v>0</v>
      </c>
      <c r="AD59" s="383">
        <f t="shared" si="99"/>
        <v>0</v>
      </c>
      <c r="AE59" s="58"/>
      <c r="AF59" s="383"/>
      <c r="AG59" s="383"/>
      <c r="AH59" s="383"/>
      <c r="AI59" s="383"/>
      <c r="AJ59" s="383"/>
      <c r="AK59" s="383"/>
      <c r="AL59" s="383"/>
      <c r="AM59" s="383"/>
      <c r="AP59" s="383">
        <f t="shared" si="83"/>
        <v>0</v>
      </c>
      <c r="AQ59" s="383">
        <f t="shared" si="84"/>
        <v>0</v>
      </c>
      <c r="AR59" s="383">
        <f t="shared" si="85"/>
        <v>611.88099</v>
      </c>
      <c r="AS59" s="383">
        <f t="shared" si="86"/>
        <v>0</v>
      </c>
      <c r="AT59" s="383">
        <f t="shared" si="87"/>
        <v>0</v>
      </c>
      <c r="AU59" s="383">
        <f t="shared" si="88"/>
        <v>0</v>
      </c>
      <c r="AV59" s="383">
        <f t="shared" si="89"/>
        <v>0</v>
      </c>
      <c r="AW59" s="383">
        <f t="shared" si="90"/>
        <v>0</v>
      </c>
      <c r="AX59" s="58"/>
      <c r="AY59" s="383"/>
      <c r="AZ59" s="383"/>
      <c r="BA59" s="383">
        <f t="shared" si="62"/>
        <v>0</v>
      </c>
      <c r="BB59" s="383">
        <f t="shared" si="63"/>
        <v>0</v>
      </c>
      <c r="BC59" s="383">
        <f t="shared" si="64"/>
        <v>0</v>
      </c>
      <c r="BD59" s="383">
        <f t="shared" si="65"/>
        <v>0</v>
      </c>
      <c r="BE59" s="383">
        <f t="shared" si="66"/>
        <v>0</v>
      </c>
      <c r="BF59" s="383">
        <f t="shared" si="67"/>
        <v>0</v>
      </c>
      <c r="BG59" s="383">
        <f t="shared" si="68"/>
        <v>0</v>
      </c>
      <c r="BH59" s="383">
        <f t="shared" si="69"/>
        <v>0</v>
      </c>
      <c r="BJ59" s="382" t="s">
        <v>114</v>
      </c>
      <c r="BK59" s="383">
        <v>264</v>
      </c>
      <c r="BL59" s="383">
        <f t="shared" si="70"/>
        <v>0</v>
      </c>
      <c r="BM59" s="383">
        <f t="shared" si="71"/>
        <v>0</v>
      </c>
      <c r="BN59" s="383">
        <f t="shared" si="72"/>
        <v>264</v>
      </c>
      <c r="BO59" s="383">
        <f t="shared" si="73"/>
        <v>0</v>
      </c>
      <c r="BP59" s="383">
        <f t="shared" si="74"/>
        <v>0</v>
      </c>
      <c r="BQ59" s="383">
        <f t="shared" si="75"/>
        <v>0</v>
      </c>
      <c r="BR59" s="383">
        <f t="shared" si="76"/>
        <v>0</v>
      </c>
      <c r="BS59" s="383">
        <f t="shared" si="77"/>
        <v>0</v>
      </c>
    </row>
    <row r="60" spans="1:71" ht="11.25">
      <c r="A60" s="60"/>
      <c r="B60" s="405"/>
      <c r="C60" s="406" t="s">
        <v>224</v>
      </c>
      <c r="D60" s="382" t="s">
        <v>175</v>
      </c>
      <c r="E60" s="383">
        <f>IF(ISERROR(VLOOKUP(C60,'CA Level'!$B$7:$D$86,3,FALSE)),0,VLOOKUP(C60,'CA Level'!$B$7:$D$86,3,FALSE))</f>
        <v>0</v>
      </c>
      <c r="F60" s="383">
        <v>349</v>
      </c>
      <c r="G60" s="397">
        <f t="shared" si="81"/>
        <v>349</v>
      </c>
      <c r="H60" s="398" t="str">
        <f t="shared" si="82"/>
        <v>'NA'</v>
      </c>
      <c r="I60" s="417"/>
      <c r="J60" s="415"/>
      <c r="K60" s="46"/>
      <c r="L60" s="386"/>
      <c r="M60" s="387">
        <v>0.15</v>
      </c>
      <c r="N60" s="387">
        <v>0</v>
      </c>
      <c r="O60" s="387">
        <v>0.05</v>
      </c>
      <c r="P60" s="387">
        <v>0.8</v>
      </c>
      <c r="Q60" s="387">
        <f>IF($L60=Q$22,1,0)</f>
        <v>0</v>
      </c>
      <c r="R60" s="387">
        <f>IF($L60=R$22,1,0)</f>
        <v>0</v>
      </c>
      <c r="S60" s="387">
        <f>IF($L60=S$22,1,0)</f>
        <v>0</v>
      </c>
      <c r="T60" s="387">
        <f>IF($L60=T$22,1,0)</f>
        <v>0</v>
      </c>
      <c r="U60" s="39">
        <f t="shared" si="91"/>
        <v>0</v>
      </c>
      <c r="W60" s="383">
        <f t="shared" si="92"/>
        <v>0</v>
      </c>
      <c r="X60" s="383">
        <f t="shared" si="93"/>
        <v>0</v>
      </c>
      <c r="Y60" s="383">
        <f t="shared" si="94"/>
        <v>0</v>
      </c>
      <c r="Z60" s="383">
        <f t="shared" si="95"/>
        <v>0</v>
      </c>
      <c r="AA60" s="383">
        <f t="shared" si="96"/>
        <v>0</v>
      </c>
      <c r="AB60" s="383">
        <f t="shared" si="97"/>
        <v>0</v>
      </c>
      <c r="AC60" s="383">
        <f t="shared" si="98"/>
        <v>0</v>
      </c>
      <c r="AD60" s="383">
        <f t="shared" si="99"/>
        <v>0</v>
      </c>
      <c r="AE60" s="58"/>
      <c r="AF60" s="383"/>
      <c r="AG60" s="383"/>
      <c r="AH60" s="383"/>
      <c r="AI60" s="383"/>
      <c r="AJ60" s="383"/>
      <c r="AK60" s="383"/>
      <c r="AL60" s="383"/>
      <c r="AM60" s="383"/>
      <c r="AP60" s="383">
        <f t="shared" si="83"/>
        <v>52.35</v>
      </c>
      <c r="AQ60" s="383">
        <f t="shared" si="84"/>
        <v>0</v>
      </c>
      <c r="AR60" s="383">
        <f t="shared" si="85"/>
        <v>17.45</v>
      </c>
      <c r="AS60" s="383">
        <f t="shared" si="86"/>
        <v>279.2</v>
      </c>
      <c r="AT60" s="383">
        <f t="shared" si="87"/>
        <v>0</v>
      </c>
      <c r="AU60" s="383">
        <f t="shared" si="88"/>
        <v>0</v>
      </c>
      <c r="AV60" s="383">
        <f t="shared" si="89"/>
        <v>0</v>
      </c>
      <c r="AW60" s="383">
        <f t="shared" si="90"/>
        <v>0</v>
      </c>
      <c r="AX60" s="58"/>
      <c r="AY60" s="383"/>
      <c r="AZ60" s="383"/>
      <c r="BA60" s="383">
        <f t="shared" si="62"/>
        <v>0</v>
      </c>
      <c r="BB60" s="383">
        <f t="shared" si="63"/>
        <v>0</v>
      </c>
      <c r="BC60" s="383">
        <f t="shared" si="64"/>
        <v>0</v>
      </c>
      <c r="BD60" s="383">
        <f t="shared" si="65"/>
        <v>0</v>
      </c>
      <c r="BE60" s="383">
        <f t="shared" si="66"/>
        <v>0</v>
      </c>
      <c r="BF60" s="383">
        <f t="shared" si="67"/>
        <v>0</v>
      </c>
      <c r="BG60" s="383">
        <f t="shared" si="68"/>
        <v>0</v>
      </c>
      <c r="BH60" s="383">
        <f t="shared" si="69"/>
        <v>0</v>
      </c>
      <c r="BJ60" s="382"/>
      <c r="BK60" s="383"/>
      <c r="BL60" s="383">
        <f t="shared" si="70"/>
        <v>0</v>
      </c>
      <c r="BM60" s="383">
        <f t="shared" si="71"/>
        <v>0</v>
      </c>
      <c r="BN60" s="383">
        <f t="shared" si="72"/>
        <v>0</v>
      </c>
      <c r="BO60" s="383">
        <f t="shared" si="73"/>
        <v>0</v>
      </c>
      <c r="BP60" s="383">
        <f t="shared" si="74"/>
        <v>0</v>
      </c>
      <c r="BQ60" s="383">
        <f t="shared" si="75"/>
        <v>0</v>
      </c>
      <c r="BR60" s="383">
        <f t="shared" si="76"/>
        <v>0</v>
      </c>
      <c r="BS60" s="383">
        <f t="shared" si="77"/>
        <v>0</v>
      </c>
    </row>
    <row r="61" spans="1:71" ht="11.25">
      <c r="A61" s="60"/>
      <c r="B61" s="405"/>
      <c r="C61" s="406" t="s">
        <v>113</v>
      </c>
      <c r="D61" s="382" t="s">
        <v>166</v>
      </c>
      <c r="E61" s="383">
        <f>IF(ISERROR(VLOOKUP(C61,'CA Level'!$B$7:$D$86,3,FALSE)),0,VLOOKUP(C61,'CA Level'!$B$7:$D$86,3,FALSE))</f>
        <v>94.8853</v>
      </c>
      <c r="F61" s="383">
        <v>7</v>
      </c>
      <c r="G61" s="397">
        <f t="shared" si="81"/>
        <v>-87.8853</v>
      </c>
      <c r="H61" s="398">
        <f t="shared" si="82"/>
        <v>-0.9262267179426107</v>
      </c>
      <c r="I61" s="417"/>
      <c r="J61" s="415"/>
      <c r="K61" s="46"/>
      <c r="L61" s="386"/>
      <c r="M61" s="387">
        <v>0.35</v>
      </c>
      <c r="N61" s="387">
        <v>0.2</v>
      </c>
      <c r="O61" s="387">
        <v>0.2</v>
      </c>
      <c r="P61" s="387">
        <v>0.2</v>
      </c>
      <c r="Q61" s="387">
        <v>0.05</v>
      </c>
      <c r="R61" s="387">
        <f aca="true" t="shared" si="100" ref="R61:T80">IF($L61=R$22,1,0)</f>
        <v>0</v>
      </c>
      <c r="S61" s="387">
        <f t="shared" si="100"/>
        <v>0</v>
      </c>
      <c r="T61" s="387">
        <f t="shared" si="100"/>
        <v>0</v>
      </c>
      <c r="U61" s="39">
        <f t="shared" si="91"/>
        <v>0</v>
      </c>
      <c r="W61" s="383">
        <f t="shared" si="92"/>
        <v>33.209855</v>
      </c>
      <c r="X61" s="383">
        <f t="shared" si="93"/>
        <v>18.97706</v>
      </c>
      <c r="Y61" s="383">
        <f t="shared" si="94"/>
        <v>18.97706</v>
      </c>
      <c r="Z61" s="383">
        <f t="shared" si="95"/>
        <v>18.97706</v>
      </c>
      <c r="AA61" s="383">
        <f t="shared" si="96"/>
        <v>4.744265</v>
      </c>
      <c r="AB61" s="383">
        <f t="shared" si="97"/>
        <v>0</v>
      </c>
      <c r="AC61" s="383">
        <f t="shared" si="98"/>
        <v>0</v>
      </c>
      <c r="AD61" s="383">
        <f t="shared" si="99"/>
        <v>0</v>
      </c>
      <c r="AE61" s="58"/>
      <c r="AF61" s="383"/>
      <c r="AG61" s="383"/>
      <c r="AH61" s="383"/>
      <c r="AI61" s="383"/>
      <c r="AJ61" s="383"/>
      <c r="AK61" s="383"/>
      <c r="AL61" s="383"/>
      <c r="AM61" s="383"/>
      <c r="AP61" s="383">
        <f t="shared" si="83"/>
        <v>2.4499999999999997</v>
      </c>
      <c r="AQ61" s="383">
        <f t="shared" si="84"/>
        <v>1.4000000000000001</v>
      </c>
      <c r="AR61" s="383">
        <f t="shared" si="85"/>
        <v>1.4000000000000001</v>
      </c>
      <c r="AS61" s="383">
        <f t="shared" si="86"/>
        <v>1.4000000000000001</v>
      </c>
      <c r="AT61" s="383">
        <f t="shared" si="87"/>
        <v>0.35000000000000003</v>
      </c>
      <c r="AU61" s="383">
        <f t="shared" si="88"/>
        <v>0</v>
      </c>
      <c r="AV61" s="383">
        <f t="shared" si="89"/>
        <v>0</v>
      </c>
      <c r="AW61" s="383">
        <f t="shared" si="90"/>
        <v>0</v>
      </c>
      <c r="AX61" s="58"/>
      <c r="AY61" s="383" t="s">
        <v>113</v>
      </c>
      <c r="AZ61" s="383">
        <v>94.89</v>
      </c>
      <c r="BA61" s="383">
        <f t="shared" si="62"/>
        <v>33.2115</v>
      </c>
      <c r="BB61" s="383">
        <f t="shared" si="63"/>
        <v>18.978</v>
      </c>
      <c r="BC61" s="383">
        <f t="shared" si="64"/>
        <v>18.978</v>
      </c>
      <c r="BD61" s="383">
        <f t="shared" si="65"/>
        <v>18.978</v>
      </c>
      <c r="BE61" s="383">
        <f t="shared" si="66"/>
        <v>4.7445</v>
      </c>
      <c r="BF61" s="383">
        <f t="shared" si="67"/>
        <v>0</v>
      </c>
      <c r="BG61" s="383">
        <f t="shared" si="68"/>
        <v>0</v>
      </c>
      <c r="BH61" s="383">
        <f t="shared" si="69"/>
        <v>0</v>
      </c>
      <c r="BJ61" s="382" t="s">
        <v>113</v>
      </c>
      <c r="BK61" s="383">
        <v>64</v>
      </c>
      <c r="BL61" s="383">
        <f t="shared" si="70"/>
        <v>22.4</v>
      </c>
      <c r="BM61" s="383">
        <f t="shared" si="71"/>
        <v>12.8</v>
      </c>
      <c r="BN61" s="383">
        <f t="shared" si="72"/>
        <v>12.8</v>
      </c>
      <c r="BO61" s="383">
        <f t="shared" si="73"/>
        <v>12.8</v>
      </c>
      <c r="BP61" s="383">
        <f t="shared" si="74"/>
        <v>3.2</v>
      </c>
      <c r="BQ61" s="383">
        <f t="shared" si="75"/>
        <v>0</v>
      </c>
      <c r="BR61" s="383">
        <f t="shared" si="76"/>
        <v>0</v>
      </c>
      <c r="BS61" s="383">
        <f t="shared" si="77"/>
        <v>0</v>
      </c>
    </row>
    <row r="62" spans="1:71" ht="11.25">
      <c r="A62" s="60" t="e">
        <f>#REF!</f>
        <v>#REF!</v>
      </c>
      <c r="B62" s="405" t="s">
        <v>168</v>
      </c>
      <c r="C62" s="406" t="s">
        <v>112</v>
      </c>
      <c r="D62" s="382" t="s">
        <v>223</v>
      </c>
      <c r="E62" s="383">
        <f>IF(ISERROR(VLOOKUP(C62,'CA Level'!$B$7:$D$86,3,FALSE)),0,VLOOKUP(C62,'CA Level'!$B$7:$D$86,3,FALSE))</f>
        <v>50</v>
      </c>
      <c r="F62" s="383">
        <v>75.42672999999999</v>
      </c>
      <c r="G62" s="397">
        <f t="shared" si="81"/>
        <v>25.426729999999992</v>
      </c>
      <c r="H62" s="398">
        <f t="shared" si="82"/>
        <v>0.5085345999999998</v>
      </c>
      <c r="I62" s="417"/>
      <c r="J62" s="415"/>
      <c r="K62" s="46"/>
      <c r="L62" s="388" t="s">
        <v>24</v>
      </c>
      <c r="M62" s="389">
        <f aca="true" t="shared" si="101" ref="M62:Q71">IF($L62=M$22,1,0)</f>
        <v>0</v>
      </c>
      <c r="N62" s="389">
        <f t="shared" si="101"/>
        <v>0</v>
      </c>
      <c r="O62" s="389">
        <f t="shared" si="101"/>
        <v>0</v>
      </c>
      <c r="P62" s="389">
        <f t="shared" si="101"/>
        <v>0</v>
      </c>
      <c r="Q62" s="389">
        <f t="shared" si="101"/>
        <v>1</v>
      </c>
      <c r="R62" s="389">
        <f t="shared" si="100"/>
        <v>0</v>
      </c>
      <c r="S62" s="389">
        <f t="shared" si="100"/>
        <v>0</v>
      </c>
      <c r="T62" s="389">
        <f t="shared" si="100"/>
        <v>0</v>
      </c>
      <c r="U62" s="39">
        <f t="shared" si="91"/>
        <v>0</v>
      </c>
      <c r="W62" s="383">
        <f t="shared" si="92"/>
        <v>0</v>
      </c>
      <c r="X62" s="383">
        <f t="shared" si="93"/>
        <v>0</v>
      </c>
      <c r="Y62" s="383">
        <f t="shared" si="94"/>
        <v>0</v>
      </c>
      <c r="Z62" s="383">
        <f t="shared" si="95"/>
        <v>0</v>
      </c>
      <c r="AA62" s="383">
        <f t="shared" si="96"/>
        <v>50</v>
      </c>
      <c r="AB62" s="383">
        <f t="shared" si="97"/>
        <v>0</v>
      </c>
      <c r="AC62" s="383">
        <f t="shared" si="98"/>
        <v>0</v>
      </c>
      <c r="AD62" s="383">
        <f t="shared" si="99"/>
        <v>0</v>
      </c>
      <c r="AE62" s="58"/>
      <c r="AF62" s="383"/>
      <c r="AG62" s="383"/>
      <c r="AH62" s="383"/>
      <c r="AI62" s="383"/>
      <c r="AJ62" s="383"/>
      <c r="AK62" s="383"/>
      <c r="AL62" s="383"/>
      <c r="AM62" s="383"/>
      <c r="AP62" s="383">
        <f t="shared" si="83"/>
        <v>0</v>
      </c>
      <c r="AQ62" s="383">
        <f t="shared" si="84"/>
        <v>0</v>
      </c>
      <c r="AR62" s="383">
        <f t="shared" si="85"/>
        <v>0</v>
      </c>
      <c r="AS62" s="383">
        <f t="shared" si="86"/>
        <v>0</v>
      </c>
      <c r="AT62" s="383">
        <f t="shared" si="87"/>
        <v>75.42672999999999</v>
      </c>
      <c r="AU62" s="383">
        <f t="shared" si="88"/>
        <v>0</v>
      </c>
      <c r="AV62" s="383">
        <f t="shared" si="89"/>
        <v>0</v>
      </c>
      <c r="AW62" s="383">
        <f t="shared" si="90"/>
        <v>0</v>
      </c>
      <c r="AX62" s="58"/>
      <c r="AY62" s="383" t="s">
        <v>112</v>
      </c>
      <c r="AZ62" s="383">
        <v>50</v>
      </c>
      <c r="BA62" s="383">
        <f t="shared" si="62"/>
        <v>0</v>
      </c>
      <c r="BB62" s="383">
        <f t="shared" si="63"/>
        <v>0</v>
      </c>
      <c r="BC62" s="383">
        <f t="shared" si="64"/>
        <v>0</v>
      </c>
      <c r="BD62" s="383">
        <f t="shared" si="65"/>
        <v>0</v>
      </c>
      <c r="BE62" s="383">
        <f t="shared" si="66"/>
        <v>50</v>
      </c>
      <c r="BF62" s="383">
        <f t="shared" si="67"/>
        <v>0</v>
      </c>
      <c r="BG62" s="383">
        <f t="shared" si="68"/>
        <v>0</v>
      </c>
      <c r="BH62" s="383">
        <f t="shared" si="69"/>
        <v>0</v>
      </c>
      <c r="BJ62" s="382" t="s">
        <v>112</v>
      </c>
      <c r="BK62" s="383">
        <v>100</v>
      </c>
      <c r="BL62" s="383">
        <f t="shared" si="70"/>
        <v>0</v>
      </c>
      <c r="BM62" s="383">
        <f t="shared" si="71"/>
        <v>0</v>
      </c>
      <c r="BN62" s="383">
        <f t="shared" si="72"/>
        <v>0</v>
      </c>
      <c r="BO62" s="383">
        <f t="shared" si="73"/>
        <v>0</v>
      </c>
      <c r="BP62" s="383">
        <f t="shared" si="74"/>
        <v>100</v>
      </c>
      <c r="BQ62" s="383">
        <f t="shared" si="75"/>
        <v>0</v>
      </c>
      <c r="BR62" s="383">
        <f t="shared" si="76"/>
        <v>0</v>
      </c>
      <c r="BS62" s="383">
        <f t="shared" si="77"/>
        <v>0</v>
      </c>
    </row>
    <row r="63" spans="1:71" ht="11.25">
      <c r="A63" s="60"/>
      <c r="B63" s="405"/>
      <c r="C63" s="406" t="s">
        <v>111</v>
      </c>
      <c r="D63" s="382" t="s">
        <v>222</v>
      </c>
      <c r="E63" s="383">
        <f>IF(ISERROR(VLOOKUP(C63,'CA Level'!$B$7:$D$86,3,FALSE)),0,VLOOKUP(C63,'CA Level'!$B$7:$D$86,3,FALSE))</f>
        <v>1538.5</v>
      </c>
      <c r="F63" s="383">
        <v>1711.1050500000001</v>
      </c>
      <c r="G63" s="397">
        <f t="shared" si="81"/>
        <v>172.60505000000012</v>
      </c>
      <c r="H63" s="398">
        <f t="shared" si="82"/>
        <v>0.11219047773805663</v>
      </c>
      <c r="I63" s="417"/>
      <c r="J63" s="415"/>
      <c r="K63" s="46"/>
      <c r="L63" s="388" t="s">
        <v>24</v>
      </c>
      <c r="M63" s="389">
        <f t="shared" si="101"/>
        <v>0</v>
      </c>
      <c r="N63" s="389">
        <f t="shared" si="101"/>
        <v>0</v>
      </c>
      <c r="O63" s="389">
        <f t="shared" si="101"/>
        <v>0</v>
      </c>
      <c r="P63" s="389">
        <f t="shared" si="101"/>
        <v>0</v>
      </c>
      <c r="Q63" s="389">
        <f t="shared" si="101"/>
        <v>1</v>
      </c>
      <c r="R63" s="389">
        <f t="shared" si="100"/>
        <v>0</v>
      </c>
      <c r="S63" s="389">
        <f t="shared" si="100"/>
        <v>0</v>
      </c>
      <c r="T63" s="389">
        <f t="shared" si="100"/>
        <v>0</v>
      </c>
      <c r="U63" s="39">
        <f t="shared" si="91"/>
        <v>0</v>
      </c>
      <c r="W63" s="383">
        <f t="shared" si="92"/>
        <v>0</v>
      </c>
      <c r="X63" s="383">
        <f t="shared" si="93"/>
        <v>0</v>
      </c>
      <c r="Y63" s="383">
        <f t="shared" si="94"/>
        <v>0</v>
      </c>
      <c r="Z63" s="383">
        <f t="shared" si="95"/>
        <v>0</v>
      </c>
      <c r="AA63" s="383">
        <f t="shared" si="96"/>
        <v>1538.5</v>
      </c>
      <c r="AB63" s="383">
        <f t="shared" si="97"/>
        <v>0</v>
      </c>
      <c r="AC63" s="383">
        <f t="shared" si="98"/>
        <v>0</v>
      </c>
      <c r="AD63" s="383">
        <f t="shared" si="99"/>
        <v>0</v>
      </c>
      <c r="AE63" s="58"/>
      <c r="AF63" s="383"/>
      <c r="AG63" s="383"/>
      <c r="AH63" s="383"/>
      <c r="AI63" s="383"/>
      <c r="AJ63" s="383"/>
      <c r="AK63" s="383"/>
      <c r="AL63" s="383"/>
      <c r="AM63" s="383"/>
      <c r="AP63" s="383">
        <f t="shared" si="83"/>
        <v>0</v>
      </c>
      <c r="AQ63" s="383">
        <f t="shared" si="84"/>
        <v>0</v>
      </c>
      <c r="AR63" s="383">
        <f t="shared" si="85"/>
        <v>0</v>
      </c>
      <c r="AS63" s="383">
        <f t="shared" si="86"/>
        <v>0</v>
      </c>
      <c r="AT63" s="383">
        <f t="shared" si="87"/>
        <v>1711.1050500000001</v>
      </c>
      <c r="AU63" s="383">
        <f t="shared" si="88"/>
        <v>0</v>
      </c>
      <c r="AV63" s="383">
        <f t="shared" si="89"/>
        <v>0</v>
      </c>
      <c r="AW63" s="383">
        <f t="shared" si="90"/>
        <v>0</v>
      </c>
      <c r="AX63" s="58"/>
      <c r="AY63" s="383" t="s">
        <v>111</v>
      </c>
      <c r="AZ63" s="383">
        <v>1538.5</v>
      </c>
      <c r="BA63" s="383">
        <f t="shared" si="62"/>
        <v>0</v>
      </c>
      <c r="BB63" s="383">
        <f t="shared" si="63"/>
        <v>0</v>
      </c>
      <c r="BC63" s="383">
        <f t="shared" si="64"/>
        <v>0</v>
      </c>
      <c r="BD63" s="383">
        <f t="shared" si="65"/>
        <v>0</v>
      </c>
      <c r="BE63" s="383">
        <f t="shared" si="66"/>
        <v>1538.5</v>
      </c>
      <c r="BF63" s="383">
        <f t="shared" si="67"/>
        <v>0</v>
      </c>
      <c r="BG63" s="383">
        <f t="shared" si="68"/>
        <v>0</v>
      </c>
      <c r="BH63" s="383">
        <f t="shared" si="69"/>
        <v>0</v>
      </c>
      <c r="BJ63" s="382" t="s">
        <v>111</v>
      </c>
      <c r="BK63" s="383">
        <v>1653.838</v>
      </c>
      <c r="BL63" s="383">
        <f t="shared" si="70"/>
        <v>0</v>
      </c>
      <c r="BM63" s="383">
        <f t="shared" si="71"/>
        <v>0</v>
      </c>
      <c r="BN63" s="383">
        <f t="shared" si="72"/>
        <v>0</v>
      </c>
      <c r="BO63" s="383">
        <f t="shared" si="73"/>
        <v>0</v>
      </c>
      <c r="BP63" s="383">
        <f t="shared" si="74"/>
        <v>1653.838</v>
      </c>
      <c r="BQ63" s="383">
        <f t="shared" si="75"/>
        <v>0</v>
      </c>
      <c r="BR63" s="383">
        <f t="shared" si="76"/>
        <v>0</v>
      </c>
      <c r="BS63" s="383">
        <f t="shared" si="77"/>
        <v>0</v>
      </c>
    </row>
    <row r="64" spans="1:71" ht="11.25">
      <c r="A64" s="60"/>
      <c r="B64" s="405"/>
      <c r="C64" s="406" t="s">
        <v>110</v>
      </c>
      <c r="D64" s="382" t="s">
        <v>221</v>
      </c>
      <c r="E64" s="383">
        <f>IF(ISERROR(VLOOKUP(C64,'CA Level'!$B$7:$D$86,3,FALSE)),0,VLOOKUP(C64,'CA Level'!$B$7:$D$86,3,FALSE))</f>
        <v>560.4</v>
      </c>
      <c r="F64" s="383">
        <v>971.22109</v>
      </c>
      <c r="G64" s="397">
        <f t="shared" si="81"/>
        <v>410.82109</v>
      </c>
      <c r="H64" s="398">
        <f t="shared" si="82"/>
        <v>0.7330854568165597</v>
      </c>
      <c r="I64" s="417"/>
      <c r="J64" s="415"/>
      <c r="K64" s="46"/>
      <c r="L64" s="388" t="s">
        <v>24</v>
      </c>
      <c r="M64" s="389">
        <f t="shared" si="101"/>
        <v>0</v>
      </c>
      <c r="N64" s="389">
        <f t="shared" si="101"/>
        <v>0</v>
      </c>
      <c r="O64" s="389">
        <f t="shared" si="101"/>
        <v>0</v>
      </c>
      <c r="P64" s="389">
        <f t="shared" si="101"/>
        <v>0</v>
      </c>
      <c r="Q64" s="389">
        <f t="shared" si="101"/>
        <v>1</v>
      </c>
      <c r="R64" s="389">
        <f t="shared" si="100"/>
        <v>0</v>
      </c>
      <c r="S64" s="389">
        <f t="shared" si="100"/>
        <v>0</v>
      </c>
      <c r="T64" s="389">
        <f t="shared" si="100"/>
        <v>0</v>
      </c>
      <c r="U64" s="39">
        <f t="shared" si="91"/>
        <v>0</v>
      </c>
      <c r="W64" s="383">
        <f t="shared" si="92"/>
        <v>0</v>
      </c>
      <c r="X64" s="383">
        <f t="shared" si="93"/>
        <v>0</v>
      </c>
      <c r="Y64" s="383">
        <f t="shared" si="94"/>
        <v>0</v>
      </c>
      <c r="Z64" s="383">
        <f t="shared" si="95"/>
        <v>0</v>
      </c>
      <c r="AA64" s="383">
        <f t="shared" si="96"/>
        <v>560.4</v>
      </c>
      <c r="AB64" s="383">
        <f t="shared" si="97"/>
        <v>0</v>
      </c>
      <c r="AC64" s="383">
        <f t="shared" si="98"/>
        <v>0</v>
      </c>
      <c r="AD64" s="383">
        <f t="shared" si="99"/>
        <v>0</v>
      </c>
      <c r="AE64" s="58"/>
      <c r="AF64" s="383"/>
      <c r="AG64" s="383"/>
      <c r="AH64" s="383"/>
      <c r="AI64" s="383"/>
      <c r="AJ64" s="383"/>
      <c r="AK64" s="383"/>
      <c r="AL64" s="383"/>
      <c r="AM64" s="383"/>
      <c r="AP64" s="383">
        <f t="shared" si="83"/>
        <v>0</v>
      </c>
      <c r="AQ64" s="383">
        <f t="shared" si="84"/>
        <v>0</v>
      </c>
      <c r="AR64" s="383">
        <f t="shared" si="85"/>
        <v>0</v>
      </c>
      <c r="AS64" s="383">
        <f t="shared" si="86"/>
        <v>0</v>
      </c>
      <c r="AT64" s="383">
        <f t="shared" si="87"/>
        <v>971.22109</v>
      </c>
      <c r="AU64" s="383">
        <f t="shared" si="88"/>
        <v>0</v>
      </c>
      <c r="AV64" s="383">
        <f t="shared" si="89"/>
        <v>0</v>
      </c>
      <c r="AW64" s="383">
        <f t="shared" si="90"/>
        <v>0</v>
      </c>
      <c r="AX64" s="58"/>
      <c r="AY64" s="383" t="s">
        <v>110</v>
      </c>
      <c r="AZ64" s="383">
        <v>560.4</v>
      </c>
      <c r="BA64" s="383">
        <f t="shared" si="62"/>
        <v>0</v>
      </c>
      <c r="BB64" s="383">
        <f t="shared" si="63"/>
        <v>0</v>
      </c>
      <c r="BC64" s="383">
        <f t="shared" si="64"/>
        <v>0</v>
      </c>
      <c r="BD64" s="383">
        <f t="shared" si="65"/>
        <v>0</v>
      </c>
      <c r="BE64" s="383">
        <f t="shared" si="66"/>
        <v>560.4</v>
      </c>
      <c r="BF64" s="383">
        <f t="shared" si="67"/>
        <v>0</v>
      </c>
      <c r="BG64" s="383">
        <f t="shared" si="68"/>
        <v>0</v>
      </c>
      <c r="BH64" s="383">
        <f t="shared" si="69"/>
        <v>0</v>
      </c>
      <c r="BJ64" s="382" t="s">
        <v>110</v>
      </c>
      <c r="BK64" s="383">
        <v>600</v>
      </c>
      <c r="BL64" s="383">
        <f t="shared" si="70"/>
        <v>0</v>
      </c>
      <c r="BM64" s="383">
        <f t="shared" si="71"/>
        <v>0</v>
      </c>
      <c r="BN64" s="383">
        <f t="shared" si="72"/>
        <v>0</v>
      </c>
      <c r="BO64" s="383">
        <f t="shared" si="73"/>
        <v>0</v>
      </c>
      <c r="BP64" s="383">
        <f t="shared" si="74"/>
        <v>600</v>
      </c>
      <c r="BQ64" s="383">
        <f t="shared" si="75"/>
        <v>0</v>
      </c>
      <c r="BR64" s="383">
        <f t="shared" si="76"/>
        <v>0</v>
      </c>
      <c r="BS64" s="383">
        <f t="shared" si="77"/>
        <v>0</v>
      </c>
    </row>
    <row r="65" spans="1:71" ht="11.25">
      <c r="A65" s="60"/>
      <c r="B65" s="405"/>
      <c r="C65" s="406" t="s">
        <v>108</v>
      </c>
      <c r="D65" s="382" t="s">
        <v>220</v>
      </c>
      <c r="E65" s="383">
        <f>IF(ISERROR(VLOOKUP(C65,'CA Level'!$B$7:$D$86,3,FALSE)),0,VLOOKUP(C65,'CA Level'!$B$7:$D$86,3,FALSE))</f>
        <v>152.25</v>
      </c>
      <c r="F65" s="383">
        <v>58.32186</v>
      </c>
      <c r="G65" s="397">
        <f t="shared" si="81"/>
        <v>-93.92814</v>
      </c>
      <c r="H65" s="398">
        <f t="shared" si="82"/>
        <v>-0.6169335960591132</v>
      </c>
      <c r="I65" s="417"/>
      <c r="J65" s="415"/>
      <c r="K65" s="46"/>
      <c r="L65" s="388" t="s">
        <v>24</v>
      </c>
      <c r="M65" s="389">
        <f t="shared" si="101"/>
        <v>0</v>
      </c>
      <c r="N65" s="389">
        <f t="shared" si="101"/>
        <v>0</v>
      </c>
      <c r="O65" s="389">
        <f t="shared" si="101"/>
        <v>0</v>
      </c>
      <c r="P65" s="389">
        <f t="shared" si="101"/>
        <v>0</v>
      </c>
      <c r="Q65" s="389">
        <f t="shared" si="101"/>
        <v>1</v>
      </c>
      <c r="R65" s="389">
        <f t="shared" si="100"/>
        <v>0</v>
      </c>
      <c r="S65" s="389">
        <f t="shared" si="100"/>
        <v>0</v>
      </c>
      <c r="T65" s="389">
        <f t="shared" si="100"/>
        <v>0</v>
      </c>
      <c r="U65" s="39">
        <f t="shared" si="91"/>
        <v>0</v>
      </c>
      <c r="W65" s="383">
        <f t="shared" si="92"/>
        <v>0</v>
      </c>
      <c r="X65" s="383">
        <f t="shared" si="93"/>
        <v>0</v>
      </c>
      <c r="Y65" s="383">
        <f t="shared" si="94"/>
        <v>0</v>
      </c>
      <c r="Z65" s="383">
        <f t="shared" si="95"/>
        <v>0</v>
      </c>
      <c r="AA65" s="383">
        <f t="shared" si="96"/>
        <v>152.25</v>
      </c>
      <c r="AB65" s="383">
        <f t="shared" si="97"/>
        <v>0</v>
      </c>
      <c r="AC65" s="383">
        <f t="shared" si="98"/>
        <v>0</v>
      </c>
      <c r="AD65" s="383">
        <f t="shared" si="99"/>
        <v>0</v>
      </c>
      <c r="AE65" s="58"/>
      <c r="AF65" s="383"/>
      <c r="AG65" s="383"/>
      <c r="AH65" s="383"/>
      <c r="AI65" s="383"/>
      <c r="AJ65" s="383"/>
      <c r="AK65" s="383"/>
      <c r="AL65" s="383"/>
      <c r="AM65" s="383"/>
      <c r="AP65" s="383">
        <f t="shared" si="83"/>
        <v>0</v>
      </c>
      <c r="AQ65" s="383">
        <f t="shared" si="84"/>
        <v>0</v>
      </c>
      <c r="AR65" s="383">
        <f t="shared" si="85"/>
        <v>0</v>
      </c>
      <c r="AS65" s="383">
        <f t="shared" si="86"/>
        <v>0</v>
      </c>
      <c r="AT65" s="383">
        <f t="shared" si="87"/>
        <v>58.32186</v>
      </c>
      <c r="AU65" s="383">
        <f t="shared" si="88"/>
        <v>0</v>
      </c>
      <c r="AV65" s="383">
        <f t="shared" si="89"/>
        <v>0</v>
      </c>
      <c r="AW65" s="383">
        <f t="shared" si="90"/>
        <v>0</v>
      </c>
      <c r="AX65" s="58"/>
      <c r="AY65" s="383" t="s">
        <v>109</v>
      </c>
      <c r="AZ65" s="383">
        <v>150</v>
      </c>
      <c r="BA65" s="383">
        <f t="shared" si="62"/>
        <v>0</v>
      </c>
      <c r="BB65" s="383">
        <f t="shared" si="63"/>
        <v>0</v>
      </c>
      <c r="BC65" s="383">
        <f t="shared" si="64"/>
        <v>0</v>
      </c>
      <c r="BD65" s="383">
        <f t="shared" si="65"/>
        <v>0</v>
      </c>
      <c r="BE65" s="383">
        <f t="shared" si="66"/>
        <v>150</v>
      </c>
      <c r="BF65" s="383">
        <f t="shared" si="67"/>
        <v>0</v>
      </c>
      <c r="BG65" s="383">
        <f t="shared" si="68"/>
        <v>0</v>
      </c>
      <c r="BH65" s="383">
        <f t="shared" si="69"/>
        <v>0</v>
      </c>
      <c r="BJ65" s="382" t="s">
        <v>109</v>
      </c>
      <c r="BK65" s="383">
        <v>150</v>
      </c>
      <c r="BL65" s="383">
        <f t="shared" si="70"/>
        <v>0</v>
      </c>
      <c r="BM65" s="383">
        <f t="shared" si="71"/>
        <v>0</v>
      </c>
      <c r="BN65" s="383">
        <f t="shared" si="72"/>
        <v>0</v>
      </c>
      <c r="BO65" s="383">
        <f t="shared" si="73"/>
        <v>0</v>
      </c>
      <c r="BP65" s="383">
        <f t="shared" si="74"/>
        <v>150</v>
      </c>
      <c r="BQ65" s="383">
        <f t="shared" si="75"/>
        <v>0</v>
      </c>
      <c r="BR65" s="383">
        <f t="shared" si="76"/>
        <v>0</v>
      </c>
      <c r="BS65" s="383">
        <f t="shared" si="77"/>
        <v>0</v>
      </c>
    </row>
    <row r="66" spans="1:71" ht="11.25">
      <c r="A66" s="60"/>
      <c r="B66" s="405"/>
      <c r="C66" s="406" t="s">
        <v>107</v>
      </c>
      <c r="D66" s="382" t="s">
        <v>219</v>
      </c>
      <c r="E66" s="383">
        <f>IF(ISERROR(VLOOKUP(C66,'CA Level'!$B$7:$D$86,3,FALSE)),0,VLOOKUP(C66,'CA Level'!$B$7:$D$86,3,FALSE))+'CA Level'!D43</f>
        <v>150</v>
      </c>
      <c r="F66" s="383">
        <v>101.93748</v>
      </c>
      <c r="G66" s="397">
        <f t="shared" si="81"/>
        <v>-48.062520000000006</v>
      </c>
      <c r="H66" s="398">
        <f t="shared" si="82"/>
        <v>-0.32041680000000006</v>
      </c>
      <c r="I66" s="417"/>
      <c r="J66" s="415"/>
      <c r="K66" s="46"/>
      <c r="L66" s="388" t="s">
        <v>24</v>
      </c>
      <c r="M66" s="389">
        <f t="shared" si="101"/>
        <v>0</v>
      </c>
      <c r="N66" s="389">
        <f t="shared" si="101"/>
        <v>0</v>
      </c>
      <c r="O66" s="389">
        <f t="shared" si="101"/>
        <v>0</v>
      </c>
      <c r="P66" s="389">
        <f t="shared" si="101"/>
        <v>0</v>
      </c>
      <c r="Q66" s="389">
        <f t="shared" si="101"/>
        <v>1</v>
      </c>
      <c r="R66" s="389">
        <f t="shared" si="100"/>
        <v>0</v>
      </c>
      <c r="S66" s="389">
        <f t="shared" si="100"/>
        <v>0</v>
      </c>
      <c r="T66" s="389">
        <f t="shared" si="100"/>
        <v>0</v>
      </c>
      <c r="U66" s="39">
        <f t="shared" si="91"/>
        <v>0</v>
      </c>
      <c r="W66" s="383">
        <f t="shared" si="92"/>
        <v>0</v>
      </c>
      <c r="X66" s="383">
        <f t="shared" si="93"/>
        <v>0</v>
      </c>
      <c r="Y66" s="383">
        <f t="shared" si="94"/>
        <v>0</v>
      </c>
      <c r="Z66" s="383">
        <f t="shared" si="95"/>
        <v>0</v>
      </c>
      <c r="AA66" s="383">
        <f t="shared" si="96"/>
        <v>150</v>
      </c>
      <c r="AB66" s="383">
        <f t="shared" si="97"/>
        <v>0</v>
      </c>
      <c r="AC66" s="383">
        <f t="shared" si="98"/>
        <v>0</v>
      </c>
      <c r="AD66" s="383">
        <f t="shared" si="99"/>
        <v>0</v>
      </c>
      <c r="AE66" s="58"/>
      <c r="AF66" s="383"/>
      <c r="AG66" s="383"/>
      <c r="AH66" s="383"/>
      <c r="AI66" s="383"/>
      <c r="AJ66" s="383"/>
      <c r="AK66" s="383"/>
      <c r="AL66" s="383"/>
      <c r="AM66" s="383"/>
      <c r="AP66" s="383">
        <f t="shared" si="83"/>
        <v>0</v>
      </c>
      <c r="AQ66" s="383">
        <f t="shared" si="84"/>
        <v>0</v>
      </c>
      <c r="AR66" s="383">
        <f t="shared" si="85"/>
        <v>0</v>
      </c>
      <c r="AS66" s="383">
        <f t="shared" si="86"/>
        <v>0</v>
      </c>
      <c r="AT66" s="383">
        <f t="shared" si="87"/>
        <v>101.93748</v>
      </c>
      <c r="AU66" s="383">
        <f t="shared" si="88"/>
        <v>0</v>
      </c>
      <c r="AV66" s="383">
        <f t="shared" si="89"/>
        <v>0</v>
      </c>
      <c r="AW66" s="383">
        <f t="shared" si="90"/>
        <v>0</v>
      </c>
      <c r="AX66" s="58"/>
      <c r="AY66" s="383" t="s">
        <v>108</v>
      </c>
      <c r="AZ66" s="383">
        <v>152.25</v>
      </c>
      <c r="BA66" s="383">
        <f t="shared" si="62"/>
        <v>0</v>
      </c>
      <c r="BB66" s="383">
        <f t="shared" si="63"/>
        <v>0</v>
      </c>
      <c r="BC66" s="383">
        <f t="shared" si="64"/>
        <v>0</v>
      </c>
      <c r="BD66" s="383">
        <f t="shared" si="65"/>
        <v>0</v>
      </c>
      <c r="BE66" s="383">
        <f t="shared" si="66"/>
        <v>152.25</v>
      </c>
      <c r="BF66" s="383">
        <f t="shared" si="67"/>
        <v>0</v>
      </c>
      <c r="BG66" s="383">
        <f t="shared" si="68"/>
        <v>0</v>
      </c>
      <c r="BH66" s="383">
        <f t="shared" si="69"/>
        <v>0</v>
      </c>
      <c r="BJ66" s="382" t="s">
        <v>108</v>
      </c>
      <c r="BK66" s="383">
        <v>200</v>
      </c>
      <c r="BL66" s="383">
        <f t="shared" si="70"/>
        <v>0</v>
      </c>
      <c r="BM66" s="383">
        <f t="shared" si="71"/>
        <v>0</v>
      </c>
      <c r="BN66" s="383">
        <f t="shared" si="72"/>
        <v>0</v>
      </c>
      <c r="BO66" s="383">
        <f t="shared" si="73"/>
        <v>0</v>
      </c>
      <c r="BP66" s="383">
        <f t="shared" si="74"/>
        <v>200</v>
      </c>
      <c r="BQ66" s="383">
        <f t="shared" si="75"/>
        <v>0</v>
      </c>
      <c r="BR66" s="383">
        <f t="shared" si="76"/>
        <v>0</v>
      </c>
      <c r="BS66" s="383">
        <f t="shared" si="77"/>
        <v>0</v>
      </c>
    </row>
    <row r="67" spans="1:71" ht="11.25">
      <c r="A67" s="60"/>
      <c r="B67" s="405"/>
      <c r="C67" s="406" t="s">
        <v>106</v>
      </c>
      <c r="D67" s="382" t="s">
        <v>218</v>
      </c>
      <c r="E67" s="383">
        <f>IF(ISERROR(VLOOKUP(C67,'CA Level'!$B$7:$D$86,3,FALSE)),0,VLOOKUP(C67,'CA Level'!$B$7:$D$86,3,FALSE))</f>
        <v>590</v>
      </c>
      <c r="F67" s="383">
        <v>762.3701</v>
      </c>
      <c r="G67" s="397">
        <f t="shared" si="81"/>
        <v>172.37009999999998</v>
      </c>
      <c r="H67" s="398">
        <f t="shared" si="82"/>
        <v>0.2921527118644067</v>
      </c>
      <c r="I67" s="417"/>
      <c r="J67" s="415"/>
      <c r="K67" s="46"/>
      <c r="L67" s="388" t="s">
        <v>24</v>
      </c>
      <c r="M67" s="389">
        <f t="shared" si="101"/>
        <v>0</v>
      </c>
      <c r="N67" s="389">
        <f t="shared" si="101"/>
        <v>0</v>
      </c>
      <c r="O67" s="389">
        <f t="shared" si="101"/>
        <v>0</v>
      </c>
      <c r="P67" s="389">
        <f t="shared" si="101"/>
        <v>0</v>
      </c>
      <c r="Q67" s="389">
        <f t="shared" si="101"/>
        <v>1</v>
      </c>
      <c r="R67" s="389">
        <f t="shared" si="100"/>
        <v>0</v>
      </c>
      <c r="S67" s="389">
        <f t="shared" si="100"/>
        <v>0</v>
      </c>
      <c r="T67" s="389">
        <f t="shared" si="100"/>
        <v>0</v>
      </c>
      <c r="U67" s="39">
        <f t="shared" si="91"/>
        <v>0</v>
      </c>
      <c r="W67" s="383">
        <f t="shared" si="92"/>
        <v>0</v>
      </c>
      <c r="X67" s="383">
        <f t="shared" si="93"/>
        <v>0</v>
      </c>
      <c r="Y67" s="383">
        <f t="shared" si="94"/>
        <v>0</v>
      </c>
      <c r="Z67" s="383">
        <f t="shared" si="95"/>
        <v>0</v>
      </c>
      <c r="AA67" s="383">
        <f t="shared" si="96"/>
        <v>590</v>
      </c>
      <c r="AB67" s="383">
        <f t="shared" si="97"/>
        <v>0</v>
      </c>
      <c r="AC67" s="383">
        <f t="shared" si="98"/>
        <v>0</v>
      </c>
      <c r="AD67" s="383">
        <f t="shared" si="99"/>
        <v>0</v>
      </c>
      <c r="AE67" s="58"/>
      <c r="AF67" s="383"/>
      <c r="AG67" s="383"/>
      <c r="AH67" s="383"/>
      <c r="AI67" s="383"/>
      <c r="AJ67" s="383"/>
      <c r="AK67" s="383"/>
      <c r="AL67" s="383"/>
      <c r="AM67" s="383"/>
      <c r="AP67" s="383">
        <f t="shared" si="83"/>
        <v>0</v>
      </c>
      <c r="AQ67" s="383">
        <f t="shared" si="84"/>
        <v>0</v>
      </c>
      <c r="AR67" s="383">
        <f t="shared" si="85"/>
        <v>0</v>
      </c>
      <c r="AS67" s="383">
        <f t="shared" si="86"/>
        <v>0</v>
      </c>
      <c r="AT67" s="383">
        <f t="shared" si="87"/>
        <v>762.3701</v>
      </c>
      <c r="AU67" s="383">
        <f t="shared" si="88"/>
        <v>0</v>
      </c>
      <c r="AV67" s="383">
        <f t="shared" si="89"/>
        <v>0</v>
      </c>
      <c r="AW67" s="383">
        <f t="shared" si="90"/>
        <v>0</v>
      </c>
      <c r="AX67" s="58"/>
      <c r="AY67" s="383" t="s">
        <v>107</v>
      </c>
      <c r="AZ67" s="383">
        <v>0</v>
      </c>
      <c r="BA67" s="383">
        <f t="shared" si="62"/>
        <v>0</v>
      </c>
      <c r="BB67" s="383">
        <f t="shared" si="63"/>
        <v>0</v>
      </c>
      <c r="BC67" s="383">
        <f t="shared" si="64"/>
        <v>0</v>
      </c>
      <c r="BD67" s="383">
        <f t="shared" si="65"/>
        <v>0</v>
      </c>
      <c r="BE67" s="383">
        <f t="shared" si="66"/>
        <v>0</v>
      </c>
      <c r="BF67" s="383">
        <f t="shared" si="67"/>
        <v>0</v>
      </c>
      <c r="BG67" s="383">
        <f t="shared" si="68"/>
        <v>0</v>
      </c>
      <c r="BH67" s="383">
        <f t="shared" si="69"/>
        <v>0</v>
      </c>
      <c r="BJ67" s="382" t="s">
        <v>107</v>
      </c>
      <c r="BK67" s="383">
        <v>20</v>
      </c>
      <c r="BL67" s="383">
        <f t="shared" si="70"/>
        <v>0</v>
      </c>
      <c r="BM67" s="383">
        <f t="shared" si="71"/>
        <v>0</v>
      </c>
      <c r="BN67" s="383">
        <f t="shared" si="72"/>
        <v>0</v>
      </c>
      <c r="BO67" s="383">
        <f t="shared" si="73"/>
        <v>0</v>
      </c>
      <c r="BP67" s="383">
        <f t="shared" si="74"/>
        <v>20</v>
      </c>
      <c r="BQ67" s="383">
        <f t="shared" si="75"/>
        <v>0</v>
      </c>
      <c r="BR67" s="383">
        <f t="shared" si="76"/>
        <v>0</v>
      </c>
      <c r="BS67" s="383">
        <f t="shared" si="77"/>
        <v>0</v>
      </c>
    </row>
    <row r="68" spans="1:71" ht="11.25">
      <c r="A68" s="60"/>
      <c r="B68" s="405"/>
      <c r="C68" s="406" t="s">
        <v>217</v>
      </c>
      <c r="D68" s="382" t="s">
        <v>175</v>
      </c>
      <c r="E68" s="383">
        <f>IF(ISERROR(VLOOKUP(C68,'CA Level'!$B$7:$D$86,3,FALSE)),0,VLOOKUP(C68,'CA Level'!$B$7:$D$86,3,FALSE))</f>
        <v>0</v>
      </c>
      <c r="F68" s="383">
        <v>107</v>
      </c>
      <c r="G68" s="397">
        <f t="shared" si="81"/>
        <v>107</v>
      </c>
      <c r="H68" s="398" t="str">
        <f t="shared" si="82"/>
        <v>'NA'</v>
      </c>
      <c r="I68" s="417"/>
      <c r="J68" s="415"/>
      <c r="K68" s="46"/>
      <c r="L68" s="388" t="s">
        <v>24</v>
      </c>
      <c r="M68" s="389">
        <f t="shared" si="101"/>
        <v>0</v>
      </c>
      <c r="N68" s="389">
        <f t="shared" si="101"/>
        <v>0</v>
      </c>
      <c r="O68" s="389">
        <f t="shared" si="101"/>
        <v>0</v>
      </c>
      <c r="P68" s="389">
        <f t="shared" si="101"/>
        <v>0</v>
      </c>
      <c r="Q68" s="389">
        <f t="shared" si="101"/>
        <v>1</v>
      </c>
      <c r="R68" s="389">
        <f t="shared" si="100"/>
        <v>0</v>
      </c>
      <c r="S68" s="389">
        <f t="shared" si="100"/>
        <v>0</v>
      </c>
      <c r="T68" s="389">
        <f t="shared" si="100"/>
        <v>0</v>
      </c>
      <c r="U68" s="39">
        <f t="shared" si="91"/>
        <v>0</v>
      </c>
      <c r="W68" s="383">
        <f t="shared" si="92"/>
        <v>0</v>
      </c>
      <c r="X68" s="383">
        <f t="shared" si="93"/>
        <v>0</v>
      </c>
      <c r="Y68" s="383">
        <f t="shared" si="94"/>
        <v>0</v>
      </c>
      <c r="Z68" s="383">
        <f t="shared" si="95"/>
        <v>0</v>
      </c>
      <c r="AA68" s="383">
        <f t="shared" si="96"/>
        <v>0</v>
      </c>
      <c r="AB68" s="383">
        <f t="shared" si="97"/>
        <v>0</v>
      </c>
      <c r="AC68" s="383">
        <f t="shared" si="98"/>
        <v>0</v>
      </c>
      <c r="AD68" s="383">
        <f t="shared" si="99"/>
        <v>0</v>
      </c>
      <c r="AE68" s="58"/>
      <c r="AF68" s="383"/>
      <c r="AG68" s="383"/>
      <c r="AH68" s="383"/>
      <c r="AI68" s="383"/>
      <c r="AJ68" s="383"/>
      <c r="AK68" s="383"/>
      <c r="AL68" s="383"/>
      <c r="AM68" s="383"/>
      <c r="AP68" s="383">
        <f t="shared" si="83"/>
        <v>0</v>
      </c>
      <c r="AQ68" s="383">
        <f t="shared" si="84"/>
        <v>0</v>
      </c>
      <c r="AR68" s="383">
        <f t="shared" si="85"/>
        <v>0</v>
      </c>
      <c r="AS68" s="383">
        <f t="shared" si="86"/>
        <v>0</v>
      </c>
      <c r="AT68" s="383">
        <f t="shared" si="87"/>
        <v>107</v>
      </c>
      <c r="AU68" s="383">
        <f t="shared" si="88"/>
        <v>0</v>
      </c>
      <c r="AV68" s="383">
        <f t="shared" si="89"/>
        <v>0</v>
      </c>
      <c r="AW68" s="383">
        <f t="shared" si="90"/>
        <v>0</v>
      </c>
      <c r="AX68" s="58"/>
      <c r="AY68" s="383" t="s">
        <v>106</v>
      </c>
      <c r="AZ68" s="383">
        <v>590</v>
      </c>
      <c r="BA68" s="383">
        <f t="shared" si="62"/>
        <v>0</v>
      </c>
      <c r="BB68" s="383">
        <f t="shared" si="63"/>
        <v>0</v>
      </c>
      <c r="BC68" s="383">
        <f t="shared" si="64"/>
        <v>0</v>
      </c>
      <c r="BD68" s="383">
        <f t="shared" si="65"/>
        <v>0</v>
      </c>
      <c r="BE68" s="383">
        <f t="shared" si="66"/>
        <v>590</v>
      </c>
      <c r="BF68" s="383">
        <f t="shared" si="67"/>
        <v>0</v>
      </c>
      <c r="BG68" s="383">
        <f t="shared" si="68"/>
        <v>0</v>
      </c>
      <c r="BH68" s="383">
        <f t="shared" si="69"/>
        <v>0</v>
      </c>
      <c r="BJ68" s="382" t="s">
        <v>106</v>
      </c>
      <c r="BK68" s="383">
        <v>590</v>
      </c>
      <c r="BL68" s="383">
        <f t="shared" si="70"/>
        <v>0</v>
      </c>
      <c r="BM68" s="383">
        <f t="shared" si="71"/>
        <v>0</v>
      </c>
      <c r="BN68" s="383">
        <f t="shared" si="72"/>
        <v>0</v>
      </c>
      <c r="BO68" s="383">
        <f t="shared" si="73"/>
        <v>0</v>
      </c>
      <c r="BP68" s="383">
        <f t="shared" si="74"/>
        <v>590</v>
      </c>
      <c r="BQ68" s="383">
        <f t="shared" si="75"/>
        <v>0</v>
      </c>
      <c r="BR68" s="383">
        <f t="shared" si="76"/>
        <v>0</v>
      </c>
      <c r="BS68" s="383">
        <f t="shared" si="77"/>
        <v>0</v>
      </c>
    </row>
    <row r="69" spans="1:71" ht="11.25">
      <c r="A69" s="60"/>
      <c r="B69" s="405"/>
      <c r="C69" s="406" t="s">
        <v>105</v>
      </c>
      <c r="D69" s="382" t="s">
        <v>166</v>
      </c>
      <c r="E69" s="383">
        <f>IF(ISERROR(VLOOKUP(C69,'CA Level'!$B$7:$D$86,3,FALSE)),0,VLOOKUP(C69,'CA Level'!$B$7:$D$86,3,FALSE))</f>
        <v>303.6014</v>
      </c>
      <c r="F69" s="383">
        <v>0</v>
      </c>
      <c r="G69" s="397">
        <f t="shared" si="81"/>
        <v>-303.6014</v>
      </c>
      <c r="H69" s="398">
        <f t="shared" si="82"/>
        <v>-1</v>
      </c>
      <c r="I69" s="417"/>
      <c r="J69" s="415"/>
      <c r="K69" s="46"/>
      <c r="L69" s="388" t="s">
        <v>24</v>
      </c>
      <c r="M69" s="389">
        <f t="shared" si="101"/>
        <v>0</v>
      </c>
      <c r="N69" s="389">
        <f t="shared" si="101"/>
        <v>0</v>
      </c>
      <c r="O69" s="389">
        <f t="shared" si="101"/>
        <v>0</v>
      </c>
      <c r="P69" s="389">
        <f t="shared" si="101"/>
        <v>0</v>
      </c>
      <c r="Q69" s="389">
        <f t="shared" si="101"/>
        <v>1</v>
      </c>
      <c r="R69" s="389">
        <f t="shared" si="100"/>
        <v>0</v>
      </c>
      <c r="S69" s="389">
        <f t="shared" si="100"/>
        <v>0</v>
      </c>
      <c r="T69" s="389">
        <f t="shared" si="100"/>
        <v>0</v>
      </c>
      <c r="U69" s="39">
        <f t="shared" si="91"/>
        <v>0</v>
      </c>
      <c r="W69" s="383">
        <f t="shared" si="92"/>
        <v>0</v>
      </c>
      <c r="X69" s="383">
        <f t="shared" si="93"/>
        <v>0</v>
      </c>
      <c r="Y69" s="383">
        <f t="shared" si="94"/>
        <v>0</v>
      </c>
      <c r="Z69" s="383">
        <f t="shared" si="95"/>
        <v>0</v>
      </c>
      <c r="AA69" s="383">
        <f t="shared" si="96"/>
        <v>303.6014</v>
      </c>
      <c r="AB69" s="383">
        <f t="shared" si="97"/>
        <v>0</v>
      </c>
      <c r="AC69" s="383">
        <f t="shared" si="98"/>
        <v>0</v>
      </c>
      <c r="AD69" s="383">
        <f t="shared" si="99"/>
        <v>0</v>
      </c>
      <c r="AE69" s="58"/>
      <c r="AF69" s="383"/>
      <c r="AG69" s="383"/>
      <c r="AH69" s="383"/>
      <c r="AI69" s="383"/>
      <c r="AJ69" s="383"/>
      <c r="AK69" s="383"/>
      <c r="AL69" s="383"/>
      <c r="AM69" s="383"/>
      <c r="AP69" s="383">
        <f t="shared" si="83"/>
        <v>0</v>
      </c>
      <c r="AQ69" s="383">
        <f t="shared" si="84"/>
        <v>0</v>
      </c>
      <c r="AR69" s="383">
        <f t="shared" si="85"/>
        <v>0</v>
      </c>
      <c r="AS69" s="383">
        <f t="shared" si="86"/>
        <v>0</v>
      </c>
      <c r="AT69" s="383">
        <f t="shared" si="87"/>
        <v>0</v>
      </c>
      <c r="AU69" s="383">
        <f t="shared" si="88"/>
        <v>0</v>
      </c>
      <c r="AV69" s="383">
        <f t="shared" si="89"/>
        <v>0</v>
      </c>
      <c r="AW69" s="383">
        <f t="shared" si="90"/>
        <v>0</v>
      </c>
      <c r="AX69" s="58"/>
      <c r="AY69" s="383" t="s">
        <v>105</v>
      </c>
      <c r="AZ69" s="383">
        <v>303.6</v>
      </c>
      <c r="BA69" s="383">
        <f t="shared" si="62"/>
        <v>0</v>
      </c>
      <c r="BB69" s="383">
        <f t="shared" si="63"/>
        <v>0</v>
      </c>
      <c r="BC69" s="383">
        <f t="shared" si="64"/>
        <v>0</v>
      </c>
      <c r="BD69" s="383">
        <f t="shared" si="65"/>
        <v>0</v>
      </c>
      <c r="BE69" s="383">
        <f t="shared" si="66"/>
        <v>303.6</v>
      </c>
      <c r="BF69" s="383">
        <f t="shared" si="67"/>
        <v>0</v>
      </c>
      <c r="BG69" s="383">
        <f t="shared" si="68"/>
        <v>0</v>
      </c>
      <c r="BH69" s="383">
        <f t="shared" si="69"/>
        <v>0</v>
      </c>
      <c r="BJ69" s="382" t="s">
        <v>105</v>
      </c>
      <c r="BK69" s="383">
        <v>139</v>
      </c>
      <c r="BL69" s="383">
        <f t="shared" si="70"/>
        <v>0</v>
      </c>
      <c r="BM69" s="383">
        <f t="shared" si="71"/>
        <v>0</v>
      </c>
      <c r="BN69" s="383">
        <f t="shared" si="72"/>
        <v>0</v>
      </c>
      <c r="BO69" s="383">
        <f t="shared" si="73"/>
        <v>0</v>
      </c>
      <c r="BP69" s="383">
        <f t="shared" si="74"/>
        <v>139</v>
      </c>
      <c r="BQ69" s="383">
        <f t="shared" si="75"/>
        <v>0</v>
      </c>
      <c r="BR69" s="383">
        <f t="shared" si="76"/>
        <v>0</v>
      </c>
      <c r="BS69" s="383">
        <f t="shared" si="77"/>
        <v>0</v>
      </c>
    </row>
    <row r="70" spans="1:71" ht="11.25">
      <c r="A70" s="60" t="e">
        <f>#REF!</f>
        <v>#REF!</v>
      </c>
      <c r="B70" s="405" t="s">
        <v>167</v>
      </c>
      <c r="C70" s="406" t="s">
        <v>104</v>
      </c>
      <c r="D70" s="382" t="s">
        <v>216</v>
      </c>
      <c r="E70" s="383">
        <f>IF(ISERROR(VLOOKUP(C70,'CA Level'!$B$7:$D$86,3,FALSE)),0,VLOOKUP(C70,'CA Level'!$B$7:$D$86,3,FALSE))</f>
        <v>961.8</v>
      </c>
      <c r="F70" s="383">
        <v>556.76725</v>
      </c>
      <c r="G70" s="397">
        <f t="shared" si="81"/>
        <v>-405.03274999999996</v>
      </c>
      <c r="H70" s="398">
        <f t="shared" si="82"/>
        <v>-0.4211195154917862</v>
      </c>
      <c r="I70" s="417"/>
      <c r="J70" s="415"/>
      <c r="K70" s="46"/>
      <c r="L70" s="388" t="s">
        <v>13</v>
      </c>
      <c r="M70" s="389">
        <f t="shared" si="101"/>
        <v>0</v>
      </c>
      <c r="N70" s="389">
        <f t="shared" si="101"/>
        <v>1</v>
      </c>
      <c r="O70" s="389">
        <f t="shared" si="101"/>
        <v>0</v>
      </c>
      <c r="P70" s="389">
        <f t="shared" si="101"/>
        <v>0</v>
      </c>
      <c r="Q70" s="389">
        <f t="shared" si="101"/>
        <v>0</v>
      </c>
      <c r="R70" s="389">
        <f t="shared" si="100"/>
        <v>0</v>
      </c>
      <c r="S70" s="389">
        <f t="shared" si="100"/>
        <v>0</v>
      </c>
      <c r="T70" s="389">
        <f t="shared" si="100"/>
        <v>0</v>
      </c>
      <c r="U70" s="39">
        <f t="shared" si="91"/>
        <v>0</v>
      </c>
      <c r="W70" s="383">
        <f t="shared" si="92"/>
        <v>0</v>
      </c>
      <c r="X70" s="383">
        <f t="shared" si="93"/>
        <v>961.8</v>
      </c>
      <c r="Y70" s="383">
        <f t="shared" si="94"/>
        <v>0</v>
      </c>
      <c r="Z70" s="383">
        <f t="shared" si="95"/>
        <v>0</v>
      </c>
      <c r="AA70" s="383">
        <f t="shared" si="96"/>
        <v>0</v>
      </c>
      <c r="AB70" s="383">
        <f t="shared" si="97"/>
        <v>0</v>
      </c>
      <c r="AC70" s="383">
        <f t="shared" si="98"/>
        <v>0</v>
      </c>
      <c r="AD70" s="383">
        <f t="shared" si="99"/>
        <v>0</v>
      </c>
      <c r="AE70" s="58"/>
      <c r="AF70" s="383"/>
      <c r="AG70" s="383"/>
      <c r="AH70" s="383"/>
      <c r="AI70" s="383"/>
      <c r="AJ70" s="383"/>
      <c r="AK70" s="383"/>
      <c r="AL70" s="383"/>
      <c r="AM70" s="383"/>
      <c r="AP70" s="383">
        <f t="shared" si="83"/>
        <v>0</v>
      </c>
      <c r="AQ70" s="383">
        <f t="shared" si="84"/>
        <v>556.76725</v>
      </c>
      <c r="AR70" s="383">
        <f t="shared" si="85"/>
        <v>0</v>
      </c>
      <c r="AS70" s="383">
        <f t="shared" si="86"/>
        <v>0</v>
      </c>
      <c r="AT70" s="383">
        <f t="shared" si="87"/>
        <v>0</v>
      </c>
      <c r="AU70" s="383">
        <f t="shared" si="88"/>
        <v>0</v>
      </c>
      <c r="AV70" s="383">
        <f t="shared" si="89"/>
        <v>0</v>
      </c>
      <c r="AW70" s="383">
        <f t="shared" si="90"/>
        <v>0</v>
      </c>
      <c r="AX70" s="58"/>
      <c r="AY70" s="383" t="s">
        <v>104</v>
      </c>
      <c r="AZ70" s="383">
        <v>315</v>
      </c>
      <c r="BA70" s="383">
        <f t="shared" si="62"/>
        <v>0</v>
      </c>
      <c r="BB70" s="383">
        <f t="shared" si="63"/>
        <v>315</v>
      </c>
      <c r="BC70" s="383">
        <f t="shared" si="64"/>
        <v>0</v>
      </c>
      <c r="BD70" s="383">
        <f t="shared" si="65"/>
        <v>0</v>
      </c>
      <c r="BE70" s="383">
        <f t="shared" si="66"/>
        <v>0</v>
      </c>
      <c r="BF70" s="383">
        <f t="shared" si="67"/>
        <v>0</v>
      </c>
      <c r="BG70" s="383">
        <f t="shared" si="68"/>
        <v>0</v>
      </c>
      <c r="BH70" s="383">
        <f t="shared" si="69"/>
        <v>0</v>
      </c>
      <c r="BJ70" s="382" t="s">
        <v>104</v>
      </c>
      <c r="BK70" s="383">
        <v>551</v>
      </c>
      <c r="BL70" s="383">
        <f t="shared" si="70"/>
        <v>0</v>
      </c>
      <c r="BM70" s="383">
        <f t="shared" si="71"/>
        <v>551</v>
      </c>
      <c r="BN70" s="383">
        <f t="shared" si="72"/>
        <v>0</v>
      </c>
      <c r="BO70" s="383">
        <f t="shared" si="73"/>
        <v>0</v>
      </c>
      <c r="BP70" s="383">
        <f t="shared" si="74"/>
        <v>0</v>
      </c>
      <c r="BQ70" s="383">
        <f t="shared" si="75"/>
        <v>0</v>
      </c>
      <c r="BR70" s="383">
        <f t="shared" si="76"/>
        <v>0</v>
      </c>
      <c r="BS70" s="383">
        <f t="shared" si="77"/>
        <v>0</v>
      </c>
    </row>
    <row r="71" spans="1:71" ht="11.25">
      <c r="A71" s="60"/>
      <c r="B71" s="405"/>
      <c r="C71" s="406" t="s">
        <v>103</v>
      </c>
      <c r="D71" s="382" t="s">
        <v>215</v>
      </c>
      <c r="E71" s="383">
        <f>IF(ISERROR(VLOOKUP(C71,'CA Level'!$B$7:$D$86,3,FALSE)),0,VLOOKUP(C71,'CA Level'!$B$7:$D$86,3,FALSE))</f>
        <v>735</v>
      </c>
      <c r="F71" s="383">
        <v>2436.7132</v>
      </c>
      <c r="G71" s="397">
        <f t="shared" si="81"/>
        <v>1701.7132000000001</v>
      </c>
      <c r="H71" s="398">
        <f t="shared" si="82"/>
        <v>2.315256054421769</v>
      </c>
      <c r="I71" s="417"/>
      <c r="J71" s="415"/>
      <c r="K71" s="46"/>
      <c r="L71" s="388" t="s">
        <v>13</v>
      </c>
      <c r="M71" s="389">
        <f t="shared" si="101"/>
        <v>0</v>
      </c>
      <c r="N71" s="389">
        <f t="shared" si="101"/>
        <v>1</v>
      </c>
      <c r="O71" s="389">
        <f t="shared" si="101"/>
        <v>0</v>
      </c>
      <c r="P71" s="389">
        <f t="shared" si="101"/>
        <v>0</v>
      </c>
      <c r="Q71" s="389">
        <f t="shared" si="101"/>
        <v>0</v>
      </c>
      <c r="R71" s="389">
        <f t="shared" si="100"/>
        <v>0</v>
      </c>
      <c r="S71" s="389">
        <f t="shared" si="100"/>
        <v>0</v>
      </c>
      <c r="T71" s="389">
        <f t="shared" si="100"/>
        <v>0</v>
      </c>
      <c r="U71" s="39">
        <f t="shared" si="91"/>
        <v>0</v>
      </c>
      <c r="W71" s="383">
        <f t="shared" si="92"/>
        <v>0</v>
      </c>
      <c r="X71" s="383">
        <f t="shared" si="93"/>
        <v>735</v>
      </c>
      <c r="Y71" s="383">
        <f t="shared" si="94"/>
        <v>0</v>
      </c>
      <c r="Z71" s="383">
        <f t="shared" si="95"/>
        <v>0</v>
      </c>
      <c r="AA71" s="383">
        <f t="shared" si="96"/>
        <v>0</v>
      </c>
      <c r="AB71" s="383">
        <f t="shared" si="97"/>
        <v>0</v>
      </c>
      <c r="AC71" s="383">
        <f t="shared" si="98"/>
        <v>0</v>
      </c>
      <c r="AD71" s="383">
        <f t="shared" si="99"/>
        <v>0</v>
      </c>
      <c r="AE71" s="58"/>
      <c r="AF71" s="383"/>
      <c r="AG71" s="383"/>
      <c r="AH71" s="383"/>
      <c r="AI71" s="383"/>
      <c r="AJ71" s="383"/>
      <c r="AK71" s="383"/>
      <c r="AL71" s="383"/>
      <c r="AM71" s="383"/>
      <c r="AP71" s="383">
        <f t="shared" si="83"/>
        <v>0</v>
      </c>
      <c r="AQ71" s="383">
        <f t="shared" si="84"/>
        <v>2436.7132</v>
      </c>
      <c r="AR71" s="383">
        <f t="shared" si="85"/>
        <v>0</v>
      </c>
      <c r="AS71" s="383">
        <f t="shared" si="86"/>
        <v>0</v>
      </c>
      <c r="AT71" s="383">
        <f t="shared" si="87"/>
        <v>0</v>
      </c>
      <c r="AU71" s="383">
        <f t="shared" si="88"/>
        <v>0</v>
      </c>
      <c r="AV71" s="383">
        <f t="shared" si="89"/>
        <v>0</v>
      </c>
      <c r="AW71" s="383">
        <f t="shared" si="90"/>
        <v>0</v>
      </c>
      <c r="AX71" s="58"/>
      <c r="AY71" s="383" t="s">
        <v>103</v>
      </c>
      <c r="AZ71" s="383">
        <v>2130</v>
      </c>
      <c r="BA71" s="383">
        <f t="shared" si="62"/>
        <v>0</v>
      </c>
      <c r="BB71" s="383">
        <f t="shared" si="63"/>
        <v>2130</v>
      </c>
      <c r="BC71" s="383">
        <f t="shared" si="64"/>
        <v>0</v>
      </c>
      <c r="BD71" s="383">
        <f t="shared" si="65"/>
        <v>0</v>
      </c>
      <c r="BE71" s="383">
        <f t="shared" si="66"/>
        <v>0</v>
      </c>
      <c r="BF71" s="383">
        <f t="shared" si="67"/>
        <v>0</v>
      </c>
      <c r="BG71" s="383">
        <f t="shared" si="68"/>
        <v>0</v>
      </c>
      <c r="BH71" s="383">
        <f t="shared" si="69"/>
        <v>0</v>
      </c>
      <c r="BJ71" s="382" t="s">
        <v>103</v>
      </c>
      <c r="BK71" s="383">
        <v>2366</v>
      </c>
      <c r="BL71" s="383">
        <f t="shared" si="70"/>
        <v>0</v>
      </c>
      <c r="BM71" s="383">
        <f t="shared" si="71"/>
        <v>2366</v>
      </c>
      <c r="BN71" s="383">
        <f t="shared" si="72"/>
        <v>0</v>
      </c>
      <c r="BO71" s="383">
        <f t="shared" si="73"/>
        <v>0</v>
      </c>
      <c r="BP71" s="383">
        <f t="shared" si="74"/>
        <v>0</v>
      </c>
      <c r="BQ71" s="383">
        <f t="shared" si="75"/>
        <v>0</v>
      </c>
      <c r="BR71" s="383">
        <f t="shared" si="76"/>
        <v>0</v>
      </c>
      <c r="BS71" s="383">
        <f t="shared" si="77"/>
        <v>0</v>
      </c>
    </row>
    <row r="72" spans="1:71" ht="11.25">
      <c r="A72" s="60"/>
      <c r="B72" s="405"/>
      <c r="C72" s="406" t="s">
        <v>102</v>
      </c>
      <c r="D72" s="382" t="s">
        <v>214</v>
      </c>
      <c r="E72" s="383">
        <f>IF(ISERROR(VLOOKUP(C72,'CA Level'!$B$7:$D$86,3,FALSE)),0,VLOOKUP(C72,'CA Level'!$B$7:$D$86,3,FALSE))</f>
        <v>280</v>
      </c>
      <c r="F72" s="383">
        <v>1037.42648</v>
      </c>
      <c r="G72" s="397">
        <f t="shared" si="81"/>
        <v>757.4264800000001</v>
      </c>
      <c r="H72" s="398">
        <f t="shared" si="82"/>
        <v>2.705094571428572</v>
      </c>
      <c r="I72" s="417"/>
      <c r="J72" s="415"/>
      <c r="K72" s="46"/>
      <c r="L72" s="388" t="s">
        <v>19</v>
      </c>
      <c r="M72" s="389">
        <f aca="true" t="shared" si="102" ref="M72:Q81">IF($L72=M$22,1,0)</f>
        <v>0</v>
      </c>
      <c r="N72" s="389">
        <f t="shared" si="102"/>
        <v>0</v>
      </c>
      <c r="O72" s="389">
        <f t="shared" si="102"/>
        <v>0</v>
      </c>
      <c r="P72" s="389">
        <f t="shared" si="102"/>
        <v>1</v>
      </c>
      <c r="Q72" s="389">
        <f t="shared" si="102"/>
        <v>0</v>
      </c>
      <c r="R72" s="389">
        <f t="shared" si="100"/>
        <v>0</v>
      </c>
      <c r="S72" s="389">
        <f t="shared" si="100"/>
        <v>0</v>
      </c>
      <c r="T72" s="389">
        <f t="shared" si="100"/>
        <v>0</v>
      </c>
      <c r="U72" s="39">
        <f t="shared" si="91"/>
        <v>0</v>
      </c>
      <c r="W72" s="383">
        <f t="shared" si="92"/>
        <v>0</v>
      </c>
      <c r="X72" s="383">
        <f t="shared" si="93"/>
        <v>0</v>
      </c>
      <c r="Y72" s="383">
        <f t="shared" si="94"/>
        <v>0</v>
      </c>
      <c r="Z72" s="383">
        <f t="shared" si="95"/>
        <v>280</v>
      </c>
      <c r="AA72" s="383">
        <f t="shared" si="96"/>
        <v>0</v>
      </c>
      <c r="AB72" s="383">
        <f t="shared" si="97"/>
        <v>0</v>
      </c>
      <c r="AC72" s="383">
        <f t="shared" si="98"/>
        <v>0</v>
      </c>
      <c r="AD72" s="383">
        <f t="shared" si="99"/>
        <v>0</v>
      </c>
      <c r="AE72" s="58"/>
      <c r="AF72" s="387">
        <v>0</v>
      </c>
      <c r="AG72" s="387">
        <v>0</v>
      </c>
      <c r="AH72" s="387">
        <v>0.19</v>
      </c>
      <c r="AI72" s="387">
        <v>0.81</v>
      </c>
      <c r="AJ72" s="387">
        <v>0</v>
      </c>
      <c r="AK72" s="387">
        <v>0</v>
      </c>
      <c r="AL72" s="387">
        <v>0</v>
      </c>
      <c r="AM72" s="387">
        <v>0</v>
      </c>
      <c r="AP72" s="383">
        <f aca="true" t="shared" si="103" ref="AP72:AW76">$F72*AF72</f>
        <v>0</v>
      </c>
      <c r="AQ72" s="383">
        <f t="shared" si="103"/>
        <v>0</v>
      </c>
      <c r="AR72" s="383">
        <f t="shared" si="103"/>
        <v>197.1110312</v>
      </c>
      <c r="AS72" s="383">
        <f t="shared" si="103"/>
        <v>840.3154488000001</v>
      </c>
      <c r="AT72" s="383">
        <f t="shared" si="103"/>
        <v>0</v>
      </c>
      <c r="AU72" s="383">
        <f t="shared" si="103"/>
        <v>0</v>
      </c>
      <c r="AV72" s="383">
        <f t="shared" si="103"/>
        <v>0</v>
      </c>
      <c r="AW72" s="383">
        <f t="shared" si="103"/>
        <v>0</v>
      </c>
      <c r="AX72" s="58"/>
      <c r="AY72" s="383" t="s">
        <v>102</v>
      </c>
      <c r="AZ72" s="383">
        <v>661</v>
      </c>
      <c r="BA72" s="383">
        <f aca="true" t="shared" si="104" ref="BA72:BH76">$AZ72*AF72</f>
        <v>0</v>
      </c>
      <c r="BB72" s="383">
        <f t="shared" si="104"/>
        <v>0</v>
      </c>
      <c r="BC72" s="383">
        <f t="shared" si="104"/>
        <v>125.59</v>
      </c>
      <c r="BD72" s="383">
        <f t="shared" si="104"/>
        <v>535.4100000000001</v>
      </c>
      <c r="BE72" s="383">
        <f t="shared" si="104"/>
        <v>0</v>
      </c>
      <c r="BF72" s="383">
        <f t="shared" si="104"/>
        <v>0</v>
      </c>
      <c r="BG72" s="383">
        <f t="shared" si="104"/>
        <v>0</v>
      </c>
      <c r="BH72" s="383">
        <f t="shared" si="104"/>
        <v>0</v>
      </c>
      <c r="BJ72" s="382" t="s">
        <v>102</v>
      </c>
      <c r="BK72" s="383">
        <v>844</v>
      </c>
      <c r="BL72" s="383">
        <f aca="true" t="shared" si="105" ref="BL72:BS76">$BK72*AF72</f>
        <v>0</v>
      </c>
      <c r="BM72" s="383">
        <f t="shared" si="105"/>
        <v>0</v>
      </c>
      <c r="BN72" s="383">
        <f t="shared" si="105"/>
        <v>160.36</v>
      </c>
      <c r="BO72" s="383">
        <f t="shared" si="105"/>
        <v>683.6400000000001</v>
      </c>
      <c r="BP72" s="383">
        <f t="shared" si="105"/>
        <v>0</v>
      </c>
      <c r="BQ72" s="383">
        <f t="shared" si="105"/>
        <v>0</v>
      </c>
      <c r="BR72" s="383">
        <f t="shared" si="105"/>
        <v>0</v>
      </c>
      <c r="BS72" s="383">
        <f t="shared" si="105"/>
        <v>0</v>
      </c>
    </row>
    <row r="73" spans="1:71" ht="11.25">
      <c r="A73" s="60"/>
      <c r="B73" s="405"/>
      <c r="C73" s="406" t="s">
        <v>101</v>
      </c>
      <c r="D73" s="382" t="s">
        <v>213</v>
      </c>
      <c r="E73" s="383">
        <f>IF(ISERROR(VLOOKUP(C73,'CA Level'!$B$7:$D$86,3,FALSE)),0,VLOOKUP(C73,'CA Level'!$B$7:$D$86,3,FALSE))</f>
        <v>18.150000000000002</v>
      </c>
      <c r="F73" s="383">
        <v>207.56947</v>
      </c>
      <c r="G73" s="397">
        <f t="shared" si="81"/>
        <v>189.41947</v>
      </c>
      <c r="H73" s="398">
        <f t="shared" si="82"/>
        <v>10.436334435261706</v>
      </c>
      <c r="I73" s="417"/>
      <c r="J73" s="415"/>
      <c r="K73" s="46"/>
      <c r="L73" s="388" t="s">
        <v>19</v>
      </c>
      <c r="M73" s="389">
        <f t="shared" si="102"/>
        <v>0</v>
      </c>
      <c r="N73" s="389">
        <f t="shared" si="102"/>
        <v>0</v>
      </c>
      <c r="O73" s="389">
        <f t="shared" si="102"/>
        <v>0</v>
      </c>
      <c r="P73" s="389">
        <f t="shared" si="102"/>
        <v>1</v>
      </c>
      <c r="Q73" s="389">
        <f t="shared" si="102"/>
        <v>0</v>
      </c>
      <c r="R73" s="389">
        <f t="shared" si="100"/>
        <v>0</v>
      </c>
      <c r="S73" s="389">
        <f t="shared" si="100"/>
        <v>0</v>
      </c>
      <c r="T73" s="389">
        <f t="shared" si="100"/>
        <v>0</v>
      </c>
      <c r="U73" s="39">
        <f t="shared" si="91"/>
        <v>0</v>
      </c>
      <c r="W73" s="383">
        <f t="shared" si="92"/>
        <v>0</v>
      </c>
      <c r="X73" s="383">
        <f t="shared" si="93"/>
        <v>0</v>
      </c>
      <c r="Y73" s="383">
        <f t="shared" si="94"/>
        <v>0</v>
      </c>
      <c r="Z73" s="383">
        <f t="shared" si="95"/>
        <v>18.150000000000002</v>
      </c>
      <c r="AA73" s="383">
        <f t="shared" si="96"/>
        <v>0</v>
      </c>
      <c r="AB73" s="383">
        <f t="shared" si="97"/>
        <v>0</v>
      </c>
      <c r="AC73" s="383">
        <f t="shared" si="98"/>
        <v>0</v>
      </c>
      <c r="AD73" s="383">
        <f t="shared" si="99"/>
        <v>0</v>
      </c>
      <c r="AE73" s="58"/>
      <c r="AF73" s="387">
        <v>0</v>
      </c>
      <c r="AG73" s="387">
        <v>0</v>
      </c>
      <c r="AH73" s="387">
        <v>0.19</v>
      </c>
      <c r="AI73" s="387">
        <v>0.81</v>
      </c>
      <c r="AJ73" s="387">
        <v>0</v>
      </c>
      <c r="AK73" s="387">
        <v>0</v>
      </c>
      <c r="AL73" s="387">
        <v>0</v>
      </c>
      <c r="AM73" s="387">
        <v>0</v>
      </c>
      <c r="AP73" s="383">
        <f t="shared" si="103"/>
        <v>0</v>
      </c>
      <c r="AQ73" s="383">
        <f t="shared" si="103"/>
        <v>0</v>
      </c>
      <c r="AR73" s="383">
        <f t="shared" si="103"/>
        <v>39.4381993</v>
      </c>
      <c r="AS73" s="383">
        <f t="shared" si="103"/>
        <v>168.13127070000002</v>
      </c>
      <c r="AT73" s="383">
        <f t="shared" si="103"/>
        <v>0</v>
      </c>
      <c r="AU73" s="383">
        <f t="shared" si="103"/>
        <v>0</v>
      </c>
      <c r="AV73" s="383">
        <f t="shared" si="103"/>
        <v>0</v>
      </c>
      <c r="AW73" s="383">
        <f t="shared" si="103"/>
        <v>0</v>
      </c>
      <c r="AX73" s="58"/>
      <c r="AY73" s="383" t="s">
        <v>101</v>
      </c>
      <c r="AZ73" s="383">
        <v>23</v>
      </c>
      <c r="BA73" s="383">
        <f t="shared" si="104"/>
        <v>0</v>
      </c>
      <c r="BB73" s="383">
        <f t="shared" si="104"/>
        <v>0</v>
      </c>
      <c r="BC73" s="383">
        <f t="shared" si="104"/>
        <v>4.37</v>
      </c>
      <c r="BD73" s="383">
        <f t="shared" si="104"/>
        <v>18.630000000000003</v>
      </c>
      <c r="BE73" s="383">
        <f t="shared" si="104"/>
        <v>0</v>
      </c>
      <c r="BF73" s="383">
        <f t="shared" si="104"/>
        <v>0</v>
      </c>
      <c r="BG73" s="383">
        <f t="shared" si="104"/>
        <v>0</v>
      </c>
      <c r="BH73" s="383">
        <f t="shared" si="104"/>
        <v>0</v>
      </c>
      <c r="BJ73" s="382" t="s">
        <v>101</v>
      </c>
      <c r="BK73" s="383">
        <v>34</v>
      </c>
      <c r="BL73" s="383">
        <f t="shared" si="105"/>
        <v>0</v>
      </c>
      <c r="BM73" s="383">
        <f t="shared" si="105"/>
        <v>0</v>
      </c>
      <c r="BN73" s="383">
        <f t="shared" si="105"/>
        <v>6.46</v>
      </c>
      <c r="BO73" s="383">
        <f t="shared" si="105"/>
        <v>27.540000000000003</v>
      </c>
      <c r="BP73" s="383">
        <f t="shared" si="105"/>
        <v>0</v>
      </c>
      <c r="BQ73" s="383">
        <f t="shared" si="105"/>
        <v>0</v>
      </c>
      <c r="BR73" s="383">
        <f t="shared" si="105"/>
        <v>0</v>
      </c>
      <c r="BS73" s="383">
        <f t="shared" si="105"/>
        <v>0</v>
      </c>
    </row>
    <row r="74" spans="1:71" ht="11.25">
      <c r="A74" s="60"/>
      <c r="B74" s="405"/>
      <c r="C74" s="406" t="s">
        <v>100</v>
      </c>
      <c r="D74" s="382" t="s">
        <v>212</v>
      </c>
      <c r="E74" s="383">
        <f>IF(ISERROR(VLOOKUP(C74,'CA Level'!$B$7:$D$86,3,FALSE)),0,VLOOKUP(C74,'CA Level'!$B$7:$D$86,3,FALSE))</f>
        <v>301.7</v>
      </c>
      <c r="F74" s="383">
        <v>0</v>
      </c>
      <c r="G74" s="397">
        <f t="shared" si="81"/>
        <v>-301.7</v>
      </c>
      <c r="H74" s="398">
        <f t="shared" si="82"/>
        <v>-1</v>
      </c>
      <c r="I74" s="417"/>
      <c r="J74" s="415"/>
      <c r="K74" s="46"/>
      <c r="L74" s="388" t="s">
        <v>19</v>
      </c>
      <c r="M74" s="389">
        <f t="shared" si="102"/>
        <v>0</v>
      </c>
      <c r="N74" s="389">
        <f t="shared" si="102"/>
        <v>0</v>
      </c>
      <c r="O74" s="389">
        <f t="shared" si="102"/>
        <v>0</v>
      </c>
      <c r="P74" s="389">
        <f t="shared" si="102"/>
        <v>1</v>
      </c>
      <c r="Q74" s="389">
        <f t="shared" si="102"/>
        <v>0</v>
      </c>
      <c r="R74" s="389">
        <f t="shared" si="100"/>
        <v>0</v>
      </c>
      <c r="S74" s="389">
        <f t="shared" si="100"/>
        <v>0</v>
      </c>
      <c r="T74" s="389">
        <f t="shared" si="100"/>
        <v>0</v>
      </c>
      <c r="U74" s="39">
        <f t="shared" si="91"/>
        <v>0</v>
      </c>
      <c r="W74" s="383">
        <f t="shared" si="92"/>
        <v>0</v>
      </c>
      <c r="X74" s="383">
        <f t="shared" si="93"/>
        <v>0</v>
      </c>
      <c r="Y74" s="383">
        <f t="shared" si="94"/>
        <v>0</v>
      </c>
      <c r="Z74" s="383">
        <f t="shared" si="95"/>
        <v>301.7</v>
      </c>
      <c r="AA74" s="383">
        <f t="shared" si="96"/>
        <v>0</v>
      </c>
      <c r="AB74" s="383">
        <f t="shared" si="97"/>
        <v>0</v>
      </c>
      <c r="AC74" s="383">
        <f t="shared" si="98"/>
        <v>0</v>
      </c>
      <c r="AD74" s="383">
        <f t="shared" si="99"/>
        <v>0</v>
      </c>
      <c r="AE74" s="58"/>
      <c r="AF74" s="387">
        <v>0</v>
      </c>
      <c r="AG74" s="387">
        <v>0</v>
      </c>
      <c r="AH74" s="387">
        <v>0.19</v>
      </c>
      <c r="AI74" s="387">
        <v>0.81</v>
      </c>
      <c r="AJ74" s="387">
        <v>0</v>
      </c>
      <c r="AK74" s="387">
        <v>0</v>
      </c>
      <c r="AL74" s="387">
        <v>0</v>
      </c>
      <c r="AM74" s="387">
        <v>0</v>
      </c>
      <c r="AP74" s="383">
        <f t="shared" si="103"/>
        <v>0</v>
      </c>
      <c r="AQ74" s="383">
        <f t="shared" si="103"/>
        <v>0</v>
      </c>
      <c r="AR74" s="383">
        <f t="shared" si="103"/>
        <v>0</v>
      </c>
      <c r="AS74" s="383">
        <f t="shared" si="103"/>
        <v>0</v>
      </c>
      <c r="AT74" s="383">
        <f t="shared" si="103"/>
        <v>0</v>
      </c>
      <c r="AU74" s="383">
        <f t="shared" si="103"/>
        <v>0</v>
      </c>
      <c r="AV74" s="383">
        <f t="shared" si="103"/>
        <v>0</v>
      </c>
      <c r="AW74" s="383">
        <f t="shared" si="103"/>
        <v>0</v>
      </c>
      <c r="AX74" s="58"/>
      <c r="AY74" s="383" t="s">
        <v>100</v>
      </c>
      <c r="AZ74" s="383">
        <v>97</v>
      </c>
      <c r="BA74" s="383">
        <f t="shared" si="104"/>
        <v>0</v>
      </c>
      <c r="BB74" s="383">
        <f t="shared" si="104"/>
        <v>0</v>
      </c>
      <c r="BC74" s="383">
        <f t="shared" si="104"/>
        <v>18.43</v>
      </c>
      <c r="BD74" s="383">
        <f t="shared" si="104"/>
        <v>78.57000000000001</v>
      </c>
      <c r="BE74" s="383">
        <f t="shared" si="104"/>
        <v>0</v>
      </c>
      <c r="BF74" s="383">
        <f t="shared" si="104"/>
        <v>0</v>
      </c>
      <c r="BG74" s="383">
        <f t="shared" si="104"/>
        <v>0</v>
      </c>
      <c r="BH74" s="383">
        <f t="shared" si="104"/>
        <v>0</v>
      </c>
      <c r="BJ74" s="382" t="s">
        <v>100</v>
      </c>
      <c r="BK74" s="383">
        <v>125</v>
      </c>
      <c r="BL74" s="383">
        <f t="shared" si="105"/>
        <v>0</v>
      </c>
      <c r="BM74" s="383">
        <f t="shared" si="105"/>
        <v>0</v>
      </c>
      <c r="BN74" s="383">
        <f t="shared" si="105"/>
        <v>23.75</v>
      </c>
      <c r="BO74" s="383">
        <f t="shared" si="105"/>
        <v>101.25</v>
      </c>
      <c r="BP74" s="383">
        <f t="shared" si="105"/>
        <v>0</v>
      </c>
      <c r="BQ74" s="383">
        <f t="shared" si="105"/>
        <v>0</v>
      </c>
      <c r="BR74" s="383">
        <f t="shared" si="105"/>
        <v>0</v>
      </c>
      <c r="BS74" s="383">
        <f t="shared" si="105"/>
        <v>0</v>
      </c>
    </row>
    <row r="75" spans="1:71" ht="11.25">
      <c r="A75" s="60"/>
      <c r="B75" s="405"/>
      <c r="C75" s="406" t="s">
        <v>99</v>
      </c>
      <c r="D75" s="382" t="s">
        <v>211</v>
      </c>
      <c r="E75" s="383">
        <f>IF(ISERROR(VLOOKUP(C75,'CA Level'!$B$7:$D$86,3,FALSE)),0,VLOOKUP(C75,'CA Level'!$B$7:$D$86,3,FALSE))</f>
        <v>301.7</v>
      </c>
      <c r="F75" s="383">
        <v>0</v>
      </c>
      <c r="G75" s="397">
        <f t="shared" si="81"/>
        <v>-301.7</v>
      </c>
      <c r="H75" s="398">
        <f t="shared" si="82"/>
        <v>-1</v>
      </c>
      <c r="I75" s="417"/>
      <c r="J75" s="415"/>
      <c r="K75" s="46"/>
      <c r="L75" s="388" t="s">
        <v>19</v>
      </c>
      <c r="M75" s="389">
        <f t="shared" si="102"/>
        <v>0</v>
      </c>
      <c r="N75" s="389">
        <f t="shared" si="102"/>
        <v>0</v>
      </c>
      <c r="O75" s="389">
        <f t="shared" si="102"/>
        <v>0</v>
      </c>
      <c r="P75" s="389">
        <f t="shared" si="102"/>
        <v>1</v>
      </c>
      <c r="Q75" s="389">
        <f t="shared" si="102"/>
        <v>0</v>
      </c>
      <c r="R75" s="389">
        <f t="shared" si="100"/>
        <v>0</v>
      </c>
      <c r="S75" s="389">
        <f t="shared" si="100"/>
        <v>0</v>
      </c>
      <c r="T75" s="389">
        <f t="shared" si="100"/>
        <v>0</v>
      </c>
      <c r="U75" s="39">
        <f t="shared" si="91"/>
        <v>0</v>
      </c>
      <c r="W75" s="383">
        <f t="shared" si="92"/>
        <v>0</v>
      </c>
      <c r="X75" s="383">
        <f t="shared" si="93"/>
        <v>0</v>
      </c>
      <c r="Y75" s="383">
        <f t="shared" si="94"/>
        <v>0</v>
      </c>
      <c r="Z75" s="383">
        <f t="shared" si="95"/>
        <v>301.7</v>
      </c>
      <c r="AA75" s="383">
        <f t="shared" si="96"/>
        <v>0</v>
      </c>
      <c r="AB75" s="383">
        <f t="shared" si="97"/>
        <v>0</v>
      </c>
      <c r="AC75" s="383">
        <f t="shared" si="98"/>
        <v>0</v>
      </c>
      <c r="AD75" s="383">
        <f t="shared" si="99"/>
        <v>0</v>
      </c>
      <c r="AE75" s="58"/>
      <c r="AF75" s="387">
        <v>0</v>
      </c>
      <c r="AG75" s="387">
        <v>0</v>
      </c>
      <c r="AH75" s="387">
        <v>0.19</v>
      </c>
      <c r="AI75" s="387">
        <v>0.81</v>
      </c>
      <c r="AJ75" s="387">
        <v>0</v>
      </c>
      <c r="AK75" s="387">
        <v>0</v>
      </c>
      <c r="AL75" s="387">
        <v>0</v>
      </c>
      <c r="AM75" s="387">
        <v>0</v>
      </c>
      <c r="AP75" s="383">
        <f t="shared" si="103"/>
        <v>0</v>
      </c>
      <c r="AQ75" s="383">
        <f t="shared" si="103"/>
        <v>0</v>
      </c>
      <c r="AR75" s="383">
        <f t="shared" si="103"/>
        <v>0</v>
      </c>
      <c r="AS75" s="383">
        <f t="shared" si="103"/>
        <v>0</v>
      </c>
      <c r="AT75" s="383">
        <f t="shared" si="103"/>
        <v>0</v>
      </c>
      <c r="AU75" s="383">
        <f t="shared" si="103"/>
        <v>0</v>
      </c>
      <c r="AV75" s="383">
        <f t="shared" si="103"/>
        <v>0</v>
      </c>
      <c r="AW75" s="383">
        <f t="shared" si="103"/>
        <v>0</v>
      </c>
      <c r="AX75" s="58"/>
      <c r="AY75" s="383" t="s">
        <v>99</v>
      </c>
      <c r="AZ75" s="383">
        <v>99</v>
      </c>
      <c r="BA75" s="383">
        <f t="shared" si="104"/>
        <v>0</v>
      </c>
      <c r="BB75" s="383">
        <f t="shared" si="104"/>
        <v>0</v>
      </c>
      <c r="BC75" s="383">
        <f t="shared" si="104"/>
        <v>18.81</v>
      </c>
      <c r="BD75" s="383">
        <f t="shared" si="104"/>
        <v>80.19000000000001</v>
      </c>
      <c r="BE75" s="383">
        <f t="shared" si="104"/>
        <v>0</v>
      </c>
      <c r="BF75" s="383">
        <f t="shared" si="104"/>
        <v>0</v>
      </c>
      <c r="BG75" s="383">
        <f t="shared" si="104"/>
        <v>0</v>
      </c>
      <c r="BH75" s="383">
        <f t="shared" si="104"/>
        <v>0</v>
      </c>
      <c r="BJ75" s="382" t="s">
        <v>99</v>
      </c>
      <c r="BK75" s="383">
        <v>125</v>
      </c>
      <c r="BL75" s="383">
        <f t="shared" si="105"/>
        <v>0</v>
      </c>
      <c r="BM75" s="383">
        <f t="shared" si="105"/>
        <v>0</v>
      </c>
      <c r="BN75" s="383">
        <f t="shared" si="105"/>
        <v>23.75</v>
      </c>
      <c r="BO75" s="383">
        <f t="shared" si="105"/>
        <v>101.25</v>
      </c>
      <c r="BP75" s="383">
        <f t="shared" si="105"/>
        <v>0</v>
      </c>
      <c r="BQ75" s="383">
        <f t="shared" si="105"/>
        <v>0</v>
      </c>
      <c r="BR75" s="383">
        <f t="shared" si="105"/>
        <v>0</v>
      </c>
      <c r="BS75" s="383">
        <f t="shared" si="105"/>
        <v>0</v>
      </c>
    </row>
    <row r="76" spans="1:71" ht="11.25">
      <c r="A76" s="60"/>
      <c r="B76" s="405"/>
      <c r="C76" s="406" t="s">
        <v>98</v>
      </c>
      <c r="D76" s="382" t="s">
        <v>210</v>
      </c>
      <c r="E76" s="383">
        <f>IF(ISERROR(VLOOKUP(C76,'CA Level'!$B$7:$D$86,3,FALSE)),0,VLOOKUP(C76,'CA Level'!$B$7:$D$86,3,FALSE))</f>
        <v>211.60000000000002</v>
      </c>
      <c r="F76" s="383">
        <v>939.32735</v>
      </c>
      <c r="G76" s="397">
        <f t="shared" si="81"/>
        <v>727.72735</v>
      </c>
      <c r="H76" s="398">
        <f t="shared" si="82"/>
        <v>3.4391651701323247</v>
      </c>
      <c r="I76" s="417"/>
      <c r="J76" s="415"/>
      <c r="K76" s="46"/>
      <c r="L76" s="388" t="s">
        <v>19</v>
      </c>
      <c r="M76" s="389">
        <f t="shared" si="102"/>
        <v>0</v>
      </c>
      <c r="N76" s="389">
        <f t="shared" si="102"/>
        <v>0</v>
      </c>
      <c r="O76" s="389">
        <f t="shared" si="102"/>
        <v>0</v>
      </c>
      <c r="P76" s="389">
        <f t="shared" si="102"/>
        <v>1</v>
      </c>
      <c r="Q76" s="389">
        <f t="shared" si="102"/>
        <v>0</v>
      </c>
      <c r="R76" s="389">
        <f t="shared" si="100"/>
        <v>0</v>
      </c>
      <c r="S76" s="389">
        <f t="shared" si="100"/>
        <v>0</v>
      </c>
      <c r="T76" s="389">
        <f t="shared" si="100"/>
        <v>0</v>
      </c>
      <c r="U76" s="39">
        <f t="shared" si="91"/>
        <v>0</v>
      </c>
      <c r="W76" s="383">
        <f t="shared" si="92"/>
        <v>0</v>
      </c>
      <c r="X76" s="383">
        <f t="shared" si="93"/>
        <v>0</v>
      </c>
      <c r="Y76" s="383">
        <f t="shared" si="94"/>
        <v>0</v>
      </c>
      <c r="Z76" s="383">
        <f t="shared" si="95"/>
        <v>211.60000000000002</v>
      </c>
      <c r="AA76" s="383">
        <f t="shared" si="96"/>
        <v>0</v>
      </c>
      <c r="AB76" s="383">
        <f t="shared" si="97"/>
        <v>0</v>
      </c>
      <c r="AC76" s="383">
        <f t="shared" si="98"/>
        <v>0</v>
      </c>
      <c r="AD76" s="383">
        <f t="shared" si="99"/>
        <v>0</v>
      </c>
      <c r="AE76" s="58"/>
      <c r="AF76" s="387">
        <v>0</v>
      </c>
      <c r="AG76" s="387">
        <v>0</v>
      </c>
      <c r="AH76" s="387">
        <v>0.51</v>
      </c>
      <c r="AI76" s="387">
        <v>0.49</v>
      </c>
      <c r="AJ76" s="387">
        <v>0</v>
      </c>
      <c r="AK76" s="387">
        <v>0</v>
      </c>
      <c r="AL76" s="387">
        <v>0</v>
      </c>
      <c r="AM76" s="387">
        <v>0</v>
      </c>
      <c r="AP76" s="383">
        <f t="shared" si="103"/>
        <v>0</v>
      </c>
      <c r="AQ76" s="383">
        <f t="shared" si="103"/>
        <v>0</v>
      </c>
      <c r="AR76" s="383">
        <f t="shared" si="103"/>
        <v>479.05694850000003</v>
      </c>
      <c r="AS76" s="383">
        <f t="shared" si="103"/>
        <v>460.2704015</v>
      </c>
      <c r="AT76" s="383">
        <f t="shared" si="103"/>
        <v>0</v>
      </c>
      <c r="AU76" s="383">
        <f t="shared" si="103"/>
        <v>0</v>
      </c>
      <c r="AV76" s="383">
        <f t="shared" si="103"/>
        <v>0</v>
      </c>
      <c r="AW76" s="383">
        <f t="shared" si="103"/>
        <v>0</v>
      </c>
      <c r="AX76" s="58"/>
      <c r="AY76" s="383" t="s">
        <v>98</v>
      </c>
      <c r="AZ76" s="383">
        <v>285</v>
      </c>
      <c r="BA76" s="383">
        <f t="shared" si="104"/>
        <v>0</v>
      </c>
      <c r="BB76" s="383">
        <f t="shared" si="104"/>
        <v>0</v>
      </c>
      <c r="BC76" s="383">
        <f t="shared" si="104"/>
        <v>145.35</v>
      </c>
      <c r="BD76" s="383">
        <f t="shared" si="104"/>
        <v>139.65</v>
      </c>
      <c r="BE76" s="383">
        <f t="shared" si="104"/>
        <v>0</v>
      </c>
      <c r="BF76" s="383">
        <f t="shared" si="104"/>
        <v>0</v>
      </c>
      <c r="BG76" s="383">
        <f t="shared" si="104"/>
        <v>0</v>
      </c>
      <c r="BH76" s="383">
        <f t="shared" si="104"/>
        <v>0</v>
      </c>
      <c r="BJ76" s="382" t="s">
        <v>98</v>
      </c>
      <c r="BK76" s="383">
        <v>365</v>
      </c>
      <c r="BL76" s="383">
        <f t="shared" si="105"/>
        <v>0</v>
      </c>
      <c r="BM76" s="383">
        <f t="shared" si="105"/>
        <v>0</v>
      </c>
      <c r="BN76" s="383">
        <f t="shared" si="105"/>
        <v>186.15</v>
      </c>
      <c r="BO76" s="383">
        <f t="shared" si="105"/>
        <v>178.85</v>
      </c>
      <c r="BP76" s="383">
        <f t="shared" si="105"/>
        <v>0</v>
      </c>
      <c r="BQ76" s="383">
        <f t="shared" si="105"/>
        <v>0</v>
      </c>
      <c r="BR76" s="383">
        <f t="shared" si="105"/>
        <v>0</v>
      </c>
      <c r="BS76" s="383">
        <f t="shared" si="105"/>
        <v>0</v>
      </c>
    </row>
    <row r="77" spans="1:71" ht="11.25">
      <c r="A77" s="60"/>
      <c r="B77" s="405"/>
      <c r="C77" s="406" t="s">
        <v>97</v>
      </c>
      <c r="D77" s="382" t="s">
        <v>209</v>
      </c>
      <c r="E77" s="383">
        <f>IF(ISERROR(VLOOKUP(C77,'CA Level'!$B$7:$D$86,3,FALSE)),0,VLOOKUP(C77,'CA Level'!$B$7:$D$86,3,FALSE))</f>
        <v>357.85</v>
      </c>
      <c r="F77" s="383">
        <v>713.3856</v>
      </c>
      <c r="G77" s="397">
        <f t="shared" si="81"/>
        <v>355.53559999999993</v>
      </c>
      <c r="H77" s="398">
        <f t="shared" si="82"/>
        <v>0.9935324856783566</v>
      </c>
      <c r="I77" s="417"/>
      <c r="J77" s="415"/>
      <c r="K77" s="46"/>
      <c r="L77" s="388" t="s">
        <v>19</v>
      </c>
      <c r="M77" s="389">
        <f t="shared" si="102"/>
        <v>0</v>
      </c>
      <c r="N77" s="389">
        <f t="shared" si="102"/>
        <v>0</v>
      </c>
      <c r="O77" s="389">
        <f t="shared" si="102"/>
        <v>0</v>
      </c>
      <c r="P77" s="389">
        <f t="shared" si="102"/>
        <v>1</v>
      </c>
      <c r="Q77" s="389">
        <f t="shared" si="102"/>
        <v>0</v>
      </c>
      <c r="R77" s="389">
        <f t="shared" si="100"/>
        <v>0</v>
      </c>
      <c r="S77" s="389">
        <f t="shared" si="100"/>
        <v>0</v>
      </c>
      <c r="T77" s="389">
        <f t="shared" si="100"/>
        <v>0</v>
      </c>
      <c r="U77" s="39">
        <f t="shared" si="91"/>
        <v>0</v>
      </c>
      <c r="W77" s="383">
        <f t="shared" si="92"/>
        <v>0</v>
      </c>
      <c r="X77" s="383">
        <f t="shared" si="93"/>
        <v>0</v>
      </c>
      <c r="Y77" s="383">
        <f t="shared" si="94"/>
        <v>0</v>
      </c>
      <c r="Z77" s="383">
        <f t="shared" si="95"/>
        <v>357.85</v>
      </c>
      <c r="AA77" s="383">
        <f t="shared" si="96"/>
        <v>0</v>
      </c>
      <c r="AB77" s="383">
        <f t="shared" si="97"/>
        <v>0</v>
      </c>
      <c r="AC77" s="383">
        <f t="shared" si="98"/>
        <v>0</v>
      </c>
      <c r="AD77" s="383">
        <f t="shared" si="99"/>
        <v>0</v>
      </c>
      <c r="AE77" s="58"/>
      <c r="AF77" s="383"/>
      <c r="AG77" s="383"/>
      <c r="AH77" s="383"/>
      <c r="AI77" s="383"/>
      <c r="AJ77" s="383"/>
      <c r="AK77" s="383"/>
      <c r="AL77" s="383"/>
      <c r="AM77" s="383"/>
      <c r="AP77" s="383">
        <f aca="true" t="shared" si="106" ref="AP77:AP88">$F77*M77</f>
        <v>0</v>
      </c>
      <c r="AQ77" s="383">
        <f aca="true" t="shared" si="107" ref="AQ77:AQ88">$F77*N77</f>
        <v>0</v>
      </c>
      <c r="AR77" s="383">
        <f aca="true" t="shared" si="108" ref="AR77:AR88">$F77*O77</f>
        <v>0</v>
      </c>
      <c r="AS77" s="383">
        <f aca="true" t="shared" si="109" ref="AS77:AS88">$F77*P77</f>
        <v>713.3856</v>
      </c>
      <c r="AT77" s="383">
        <f aca="true" t="shared" si="110" ref="AT77:AT88">$F77*Q77</f>
        <v>0</v>
      </c>
      <c r="AU77" s="383">
        <f aca="true" t="shared" si="111" ref="AU77:AU88">$F77*R77</f>
        <v>0</v>
      </c>
      <c r="AV77" s="383">
        <f aca="true" t="shared" si="112" ref="AV77:AV88">$F77*S77</f>
        <v>0</v>
      </c>
      <c r="AW77" s="383">
        <f aca="true" t="shared" si="113" ref="AW77:AW88">$F77*T77</f>
        <v>0</v>
      </c>
      <c r="AX77" s="58"/>
      <c r="AY77" s="383" t="s">
        <v>97</v>
      </c>
      <c r="AZ77" s="383">
        <v>507</v>
      </c>
      <c r="BA77" s="383">
        <f aca="true" t="shared" si="114" ref="BA77:BA88">$AZ77*M77</f>
        <v>0</v>
      </c>
      <c r="BB77" s="383">
        <f aca="true" t="shared" si="115" ref="BB77:BB88">$AZ77*N77</f>
        <v>0</v>
      </c>
      <c r="BC77" s="383">
        <f aca="true" t="shared" si="116" ref="BC77:BC88">$AZ77*O77</f>
        <v>0</v>
      </c>
      <c r="BD77" s="383">
        <f aca="true" t="shared" si="117" ref="BD77:BD88">$AZ77*P77</f>
        <v>507</v>
      </c>
      <c r="BE77" s="383">
        <f aca="true" t="shared" si="118" ref="BE77:BE88">$AZ77*Q77</f>
        <v>0</v>
      </c>
      <c r="BF77" s="383">
        <f aca="true" t="shared" si="119" ref="BF77:BF88">$AZ77*R77</f>
        <v>0</v>
      </c>
      <c r="BG77" s="383">
        <f aca="true" t="shared" si="120" ref="BG77:BG88">$AZ77*S77</f>
        <v>0</v>
      </c>
      <c r="BH77" s="383">
        <f aca="true" t="shared" si="121" ref="BH77:BH88">$AZ77*T77</f>
        <v>0</v>
      </c>
      <c r="BJ77" s="382" t="s">
        <v>97</v>
      </c>
      <c r="BK77" s="383">
        <v>596</v>
      </c>
      <c r="BL77" s="383">
        <f aca="true" t="shared" si="122" ref="BL77:BL88">$BK77*M77</f>
        <v>0</v>
      </c>
      <c r="BM77" s="383">
        <f aca="true" t="shared" si="123" ref="BM77:BM88">$BK77*N77</f>
        <v>0</v>
      </c>
      <c r="BN77" s="383">
        <f aca="true" t="shared" si="124" ref="BN77:BN88">$BK77*O77</f>
        <v>0</v>
      </c>
      <c r="BO77" s="383">
        <f aca="true" t="shared" si="125" ref="BO77:BO88">$BK77*P77</f>
        <v>596</v>
      </c>
      <c r="BP77" s="383">
        <f aca="true" t="shared" si="126" ref="BP77:BP88">$BK77*Q77</f>
        <v>0</v>
      </c>
      <c r="BQ77" s="383">
        <f aca="true" t="shared" si="127" ref="BQ77:BQ88">$BK77*R77</f>
        <v>0</v>
      </c>
      <c r="BR77" s="383">
        <f aca="true" t="shared" si="128" ref="BR77:BR88">$BK77*S77</f>
        <v>0</v>
      </c>
      <c r="BS77" s="383">
        <f aca="true" t="shared" si="129" ref="BS77:BS88">$BK77*T77</f>
        <v>0</v>
      </c>
    </row>
    <row r="78" spans="1:71" ht="11.25">
      <c r="A78" s="60"/>
      <c r="B78" s="405"/>
      <c r="C78" s="406" t="s">
        <v>96</v>
      </c>
      <c r="D78" s="382" t="s">
        <v>208</v>
      </c>
      <c r="E78" s="383">
        <f>IF(ISERROR(VLOOKUP(C78,'CA Level'!$B$7:$D$86,3,FALSE)),0,VLOOKUP(C78,'CA Level'!$B$7:$D$86,3,FALSE))</f>
        <v>189.64999999999998</v>
      </c>
      <c r="F78" s="383">
        <v>0</v>
      </c>
      <c r="G78" s="397">
        <f t="shared" si="81"/>
        <v>-189.64999999999998</v>
      </c>
      <c r="H78" s="398">
        <f t="shared" si="82"/>
        <v>-1</v>
      </c>
      <c r="I78" s="417"/>
      <c r="J78" s="415"/>
      <c r="K78" s="46"/>
      <c r="L78" s="388" t="s">
        <v>19</v>
      </c>
      <c r="M78" s="389">
        <f t="shared" si="102"/>
        <v>0</v>
      </c>
      <c r="N78" s="389">
        <f t="shared" si="102"/>
        <v>0</v>
      </c>
      <c r="O78" s="389">
        <f t="shared" si="102"/>
        <v>0</v>
      </c>
      <c r="P78" s="389">
        <f t="shared" si="102"/>
        <v>1</v>
      </c>
      <c r="Q78" s="389">
        <f t="shared" si="102"/>
        <v>0</v>
      </c>
      <c r="R78" s="389">
        <f t="shared" si="100"/>
        <v>0</v>
      </c>
      <c r="S78" s="389">
        <f t="shared" si="100"/>
        <v>0</v>
      </c>
      <c r="T78" s="389">
        <f t="shared" si="100"/>
        <v>0</v>
      </c>
      <c r="U78" s="39">
        <f t="shared" si="91"/>
        <v>0</v>
      </c>
      <c r="W78" s="383">
        <f t="shared" si="92"/>
        <v>0</v>
      </c>
      <c r="X78" s="383">
        <f t="shared" si="93"/>
        <v>0</v>
      </c>
      <c r="Y78" s="383">
        <f t="shared" si="94"/>
        <v>0</v>
      </c>
      <c r="Z78" s="383">
        <f t="shared" si="95"/>
        <v>189.64999999999998</v>
      </c>
      <c r="AA78" s="383">
        <f t="shared" si="96"/>
        <v>0</v>
      </c>
      <c r="AB78" s="383">
        <f t="shared" si="97"/>
        <v>0</v>
      </c>
      <c r="AC78" s="383">
        <f t="shared" si="98"/>
        <v>0</v>
      </c>
      <c r="AD78" s="383">
        <f t="shared" si="99"/>
        <v>0</v>
      </c>
      <c r="AE78" s="58"/>
      <c r="AF78" s="383"/>
      <c r="AG78" s="383"/>
      <c r="AH78" s="383"/>
      <c r="AI78" s="383"/>
      <c r="AJ78" s="383"/>
      <c r="AK78" s="383"/>
      <c r="AL78" s="383"/>
      <c r="AM78" s="383"/>
      <c r="AP78" s="383">
        <f t="shared" si="106"/>
        <v>0</v>
      </c>
      <c r="AQ78" s="383">
        <f t="shared" si="107"/>
        <v>0</v>
      </c>
      <c r="AR78" s="383">
        <f t="shared" si="108"/>
        <v>0</v>
      </c>
      <c r="AS78" s="383">
        <f t="shared" si="109"/>
        <v>0</v>
      </c>
      <c r="AT78" s="383">
        <f t="shared" si="110"/>
        <v>0</v>
      </c>
      <c r="AU78" s="383">
        <f t="shared" si="111"/>
        <v>0</v>
      </c>
      <c r="AV78" s="383">
        <f t="shared" si="112"/>
        <v>0</v>
      </c>
      <c r="AW78" s="383">
        <f t="shared" si="113"/>
        <v>0</v>
      </c>
      <c r="AX78" s="58"/>
      <c r="AY78" s="383" t="s">
        <v>96</v>
      </c>
      <c r="AZ78" s="383">
        <v>348</v>
      </c>
      <c r="BA78" s="383">
        <f t="shared" si="114"/>
        <v>0</v>
      </c>
      <c r="BB78" s="383">
        <f t="shared" si="115"/>
        <v>0</v>
      </c>
      <c r="BC78" s="383">
        <f t="shared" si="116"/>
        <v>0</v>
      </c>
      <c r="BD78" s="383">
        <f t="shared" si="117"/>
        <v>348</v>
      </c>
      <c r="BE78" s="383">
        <f t="shared" si="118"/>
        <v>0</v>
      </c>
      <c r="BF78" s="383">
        <f t="shared" si="119"/>
        <v>0</v>
      </c>
      <c r="BG78" s="383">
        <f t="shared" si="120"/>
        <v>0</v>
      </c>
      <c r="BH78" s="383">
        <f t="shared" si="121"/>
        <v>0</v>
      </c>
      <c r="BJ78" s="382" t="s">
        <v>96</v>
      </c>
      <c r="BK78" s="383">
        <v>390</v>
      </c>
      <c r="BL78" s="383">
        <f t="shared" si="122"/>
        <v>0</v>
      </c>
      <c r="BM78" s="383">
        <f t="shared" si="123"/>
        <v>0</v>
      </c>
      <c r="BN78" s="383">
        <f t="shared" si="124"/>
        <v>0</v>
      </c>
      <c r="BO78" s="383">
        <f t="shared" si="125"/>
        <v>390</v>
      </c>
      <c r="BP78" s="383">
        <f t="shared" si="126"/>
        <v>0</v>
      </c>
      <c r="BQ78" s="383">
        <f t="shared" si="127"/>
        <v>0</v>
      </c>
      <c r="BR78" s="383">
        <f t="shared" si="128"/>
        <v>0</v>
      </c>
      <c r="BS78" s="383">
        <f t="shared" si="129"/>
        <v>0</v>
      </c>
    </row>
    <row r="79" spans="1:71" ht="11.25">
      <c r="A79" s="60"/>
      <c r="B79" s="405"/>
      <c r="C79" s="406" t="s">
        <v>95</v>
      </c>
      <c r="D79" s="382" t="s">
        <v>207</v>
      </c>
      <c r="E79" s="383">
        <f>IF(ISERROR(VLOOKUP(C79,'CA Level'!$B$7:$D$86,3,FALSE)),0,VLOOKUP(C79,'CA Level'!$B$7:$D$86,3,FALSE))</f>
        <v>208.55</v>
      </c>
      <c r="F79" s="383">
        <v>311.67602</v>
      </c>
      <c r="G79" s="397">
        <f t="shared" si="81"/>
        <v>103.12601999999998</v>
      </c>
      <c r="H79" s="398">
        <f t="shared" si="82"/>
        <v>0.4944906257492207</v>
      </c>
      <c r="I79" s="417"/>
      <c r="J79" s="415"/>
      <c r="K79" s="46"/>
      <c r="L79" s="388" t="s">
        <v>19</v>
      </c>
      <c r="M79" s="389">
        <f t="shared" si="102"/>
        <v>0</v>
      </c>
      <c r="N79" s="389">
        <f t="shared" si="102"/>
        <v>0</v>
      </c>
      <c r="O79" s="389">
        <f t="shared" si="102"/>
        <v>0</v>
      </c>
      <c r="P79" s="389">
        <f t="shared" si="102"/>
        <v>1</v>
      </c>
      <c r="Q79" s="389">
        <f t="shared" si="102"/>
        <v>0</v>
      </c>
      <c r="R79" s="389">
        <f t="shared" si="100"/>
        <v>0</v>
      </c>
      <c r="S79" s="389">
        <f t="shared" si="100"/>
        <v>0</v>
      </c>
      <c r="T79" s="389">
        <f t="shared" si="100"/>
        <v>0</v>
      </c>
      <c r="U79" s="39">
        <f t="shared" si="91"/>
        <v>0</v>
      </c>
      <c r="W79" s="383">
        <f t="shared" si="92"/>
        <v>0</v>
      </c>
      <c r="X79" s="383">
        <f t="shared" si="93"/>
        <v>0</v>
      </c>
      <c r="Y79" s="383">
        <f t="shared" si="94"/>
        <v>0</v>
      </c>
      <c r="Z79" s="383">
        <f t="shared" si="95"/>
        <v>208.55</v>
      </c>
      <c r="AA79" s="383">
        <f t="shared" si="96"/>
        <v>0</v>
      </c>
      <c r="AB79" s="383">
        <f t="shared" si="97"/>
        <v>0</v>
      </c>
      <c r="AC79" s="383">
        <f t="shared" si="98"/>
        <v>0</v>
      </c>
      <c r="AD79" s="383">
        <f t="shared" si="99"/>
        <v>0</v>
      </c>
      <c r="AE79" s="58"/>
      <c r="AF79" s="383"/>
      <c r="AG79" s="383"/>
      <c r="AH79" s="383"/>
      <c r="AI79" s="383"/>
      <c r="AJ79" s="383"/>
      <c r="AK79" s="383"/>
      <c r="AL79" s="383"/>
      <c r="AM79" s="383"/>
      <c r="AP79" s="383">
        <f t="shared" si="106"/>
        <v>0</v>
      </c>
      <c r="AQ79" s="383">
        <f t="shared" si="107"/>
        <v>0</v>
      </c>
      <c r="AR79" s="383">
        <f t="shared" si="108"/>
        <v>0</v>
      </c>
      <c r="AS79" s="383">
        <f t="shared" si="109"/>
        <v>311.67602</v>
      </c>
      <c r="AT79" s="383">
        <f t="shared" si="110"/>
        <v>0</v>
      </c>
      <c r="AU79" s="383">
        <f t="shared" si="111"/>
        <v>0</v>
      </c>
      <c r="AV79" s="383">
        <f t="shared" si="112"/>
        <v>0</v>
      </c>
      <c r="AW79" s="383">
        <f t="shared" si="113"/>
        <v>0</v>
      </c>
      <c r="AX79" s="58"/>
      <c r="AY79" s="383" t="s">
        <v>95</v>
      </c>
      <c r="AZ79" s="383">
        <v>208</v>
      </c>
      <c r="BA79" s="383">
        <f t="shared" si="114"/>
        <v>0</v>
      </c>
      <c r="BB79" s="383">
        <f t="shared" si="115"/>
        <v>0</v>
      </c>
      <c r="BC79" s="383">
        <f t="shared" si="116"/>
        <v>0</v>
      </c>
      <c r="BD79" s="383">
        <f t="shared" si="117"/>
        <v>208</v>
      </c>
      <c r="BE79" s="383">
        <f t="shared" si="118"/>
        <v>0</v>
      </c>
      <c r="BF79" s="383">
        <f t="shared" si="119"/>
        <v>0</v>
      </c>
      <c r="BG79" s="383">
        <f t="shared" si="120"/>
        <v>0</v>
      </c>
      <c r="BH79" s="383">
        <f t="shared" si="121"/>
        <v>0</v>
      </c>
      <c r="BJ79" s="382" t="s">
        <v>95</v>
      </c>
      <c r="BK79" s="383">
        <v>245</v>
      </c>
      <c r="BL79" s="383">
        <f t="shared" si="122"/>
        <v>0</v>
      </c>
      <c r="BM79" s="383">
        <f t="shared" si="123"/>
        <v>0</v>
      </c>
      <c r="BN79" s="383">
        <f t="shared" si="124"/>
        <v>0</v>
      </c>
      <c r="BO79" s="383">
        <f t="shared" si="125"/>
        <v>245</v>
      </c>
      <c r="BP79" s="383">
        <f t="shared" si="126"/>
        <v>0</v>
      </c>
      <c r="BQ79" s="383">
        <f t="shared" si="127"/>
        <v>0</v>
      </c>
      <c r="BR79" s="383">
        <f t="shared" si="128"/>
        <v>0</v>
      </c>
      <c r="BS79" s="383">
        <f t="shared" si="129"/>
        <v>0</v>
      </c>
    </row>
    <row r="80" spans="1:71" ht="11.25">
      <c r="A80" s="60"/>
      <c r="B80" s="405"/>
      <c r="C80" s="406" t="s">
        <v>94</v>
      </c>
      <c r="D80" s="382" t="s">
        <v>206</v>
      </c>
      <c r="E80" s="383">
        <f>IF(ISERROR(VLOOKUP(C80,'CA Level'!$B$7:$D$86,3,FALSE)),0,VLOOKUP(C80,'CA Level'!$B$7:$D$86,3,FALSE))</f>
        <v>208.55</v>
      </c>
      <c r="F80" s="383">
        <v>356.32694</v>
      </c>
      <c r="G80" s="397">
        <f t="shared" si="81"/>
        <v>147.77693999999997</v>
      </c>
      <c r="H80" s="398">
        <f t="shared" si="82"/>
        <v>0.7085923759290336</v>
      </c>
      <c r="I80" s="417"/>
      <c r="J80" s="415"/>
      <c r="K80" s="46"/>
      <c r="L80" s="388" t="s">
        <v>19</v>
      </c>
      <c r="M80" s="389">
        <f t="shared" si="102"/>
        <v>0</v>
      </c>
      <c r="N80" s="389">
        <f t="shared" si="102"/>
        <v>0</v>
      </c>
      <c r="O80" s="389">
        <f t="shared" si="102"/>
        <v>0</v>
      </c>
      <c r="P80" s="389">
        <f t="shared" si="102"/>
        <v>1</v>
      </c>
      <c r="Q80" s="389">
        <f t="shared" si="102"/>
        <v>0</v>
      </c>
      <c r="R80" s="389">
        <f t="shared" si="100"/>
        <v>0</v>
      </c>
      <c r="S80" s="389">
        <f t="shared" si="100"/>
        <v>0</v>
      </c>
      <c r="T80" s="389">
        <f t="shared" si="100"/>
        <v>0</v>
      </c>
      <c r="U80" s="39">
        <f t="shared" si="91"/>
        <v>0</v>
      </c>
      <c r="W80" s="383">
        <f t="shared" si="92"/>
        <v>0</v>
      </c>
      <c r="X80" s="383">
        <f t="shared" si="93"/>
        <v>0</v>
      </c>
      <c r="Y80" s="383">
        <f t="shared" si="94"/>
        <v>0</v>
      </c>
      <c r="Z80" s="383">
        <f t="shared" si="95"/>
        <v>208.55</v>
      </c>
      <c r="AA80" s="383">
        <f t="shared" si="96"/>
        <v>0</v>
      </c>
      <c r="AB80" s="383">
        <f t="shared" si="97"/>
        <v>0</v>
      </c>
      <c r="AC80" s="383">
        <f t="shared" si="98"/>
        <v>0</v>
      </c>
      <c r="AD80" s="383">
        <f t="shared" si="99"/>
        <v>0</v>
      </c>
      <c r="AE80" s="58"/>
      <c r="AF80" s="383"/>
      <c r="AG80" s="383"/>
      <c r="AH80" s="383"/>
      <c r="AI80" s="383"/>
      <c r="AJ80" s="383"/>
      <c r="AK80" s="383"/>
      <c r="AL80" s="383"/>
      <c r="AM80" s="383"/>
      <c r="AP80" s="383">
        <f t="shared" si="106"/>
        <v>0</v>
      </c>
      <c r="AQ80" s="383">
        <f t="shared" si="107"/>
        <v>0</v>
      </c>
      <c r="AR80" s="383">
        <f t="shared" si="108"/>
        <v>0</v>
      </c>
      <c r="AS80" s="383">
        <f t="shared" si="109"/>
        <v>356.32694</v>
      </c>
      <c r="AT80" s="383">
        <f t="shared" si="110"/>
        <v>0</v>
      </c>
      <c r="AU80" s="383">
        <f t="shared" si="111"/>
        <v>0</v>
      </c>
      <c r="AV80" s="383">
        <f t="shared" si="112"/>
        <v>0</v>
      </c>
      <c r="AW80" s="383">
        <f t="shared" si="113"/>
        <v>0</v>
      </c>
      <c r="AX80" s="58"/>
      <c r="AY80" s="383" t="s">
        <v>94</v>
      </c>
      <c r="AZ80" s="383">
        <v>208</v>
      </c>
      <c r="BA80" s="383">
        <f t="shared" si="114"/>
        <v>0</v>
      </c>
      <c r="BB80" s="383">
        <f t="shared" si="115"/>
        <v>0</v>
      </c>
      <c r="BC80" s="383">
        <f t="shared" si="116"/>
        <v>0</v>
      </c>
      <c r="BD80" s="383">
        <f t="shared" si="117"/>
        <v>208</v>
      </c>
      <c r="BE80" s="383">
        <f t="shared" si="118"/>
        <v>0</v>
      </c>
      <c r="BF80" s="383">
        <f t="shared" si="119"/>
        <v>0</v>
      </c>
      <c r="BG80" s="383">
        <f t="shared" si="120"/>
        <v>0</v>
      </c>
      <c r="BH80" s="383">
        <f t="shared" si="121"/>
        <v>0</v>
      </c>
      <c r="BJ80" s="382" t="s">
        <v>94</v>
      </c>
      <c r="BK80" s="383">
        <v>245</v>
      </c>
      <c r="BL80" s="383">
        <f t="shared" si="122"/>
        <v>0</v>
      </c>
      <c r="BM80" s="383">
        <f t="shared" si="123"/>
        <v>0</v>
      </c>
      <c r="BN80" s="383">
        <f t="shared" si="124"/>
        <v>0</v>
      </c>
      <c r="BO80" s="383">
        <f t="shared" si="125"/>
        <v>245</v>
      </c>
      <c r="BP80" s="383">
        <f t="shared" si="126"/>
        <v>0</v>
      </c>
      <c r="BQ80" s="383">
        <f t="shared" si="127"/>
        <v>0</v>
      </c>
      <c r="BR80" s="383">
        <f t="shared" si="128"/>
        <v>0</v>
      </c>
      <c r="BS80" s="383">
        <f t="shared" si="129"/>
        <v>0</v>
      </c>
    </row>
    <row r="81" spans="1:71" ht="11.25">
      <c r="A81" s="60"/>
      <c r="B81" s="405"/>
      <c r="C81" s="406" t="s">
        <v>93</v>
      </c>
      <c r="D81" s="382" t="s">
        <v>205</v>
      </c>
      <c r="E81" s="383">
        <f>IF(ISERROR(VLOOKUP(C81,'CA Level'!$B$7:$D$86,3,FALSE)),0,VLOOKUP(C81,'CA Level'!$B$7:$D$86,3,FALSE))</f>
        <v>212.55</v>
      </c>
      <c r="F81" s="383">
        <v>0</v>
      </c>
      <c r="G81" s="397">
        <f t="shared" si="81"/>
        <v>-212.55</v>
      </c>
      <c r="H81" s="398">
        <f t="shared" si="82"/>
        <v>-1</v>
      </c>
      <c r="I81" s="417"/>
      <c r="J81" s="415"/>
      <c r="K81" s="46"/>
      <c r="L81" s="388" t="s">
        <v>19</v>
      </c>
      <c r="M81" s="389">
        <f t="shared" si="102"/>
        <v>0</v>
      </c>
      <c r="N81" s="389">
        <f t="shared" si="102"/>
        <v>0</v>
      </c>
      <c r="O81" s="389">
        <f t="shared" si="102"/>
        <v>0</v>
      </c>
      <c r="P81" s="389">
        <f t="shared" si="102"/>
        <v>1</v>
      </c>
      <c r="Q81" s="389">
        <f t="shared" si="102"/>
        <v>0</v>
      </c>
      <c r="R81" s="389">
        <f aca="true" t="shared" si="130" ref="R81:T100">IF($L81=R$22,1,0)</f>
        <v>0</v>
      </c>
      <c r="S81" s="389">
        <f t="shared" si="130"/>
        <v>0</v>
      </c>
      <c r="T81" s="389">
        <f t="shared" si="130"/>
        <v>0</v>
      </c>
      <c r="U81" s="39">
        <f t="shared" si="91"/>
        <v>0</v>
      </c>
      <c r="W81" s="383">
        <f t="shared" si="92"/>
        <v>0</v>
      </c>
      <c r="X81" s="383">
        <f t="shared" si="93"/>
        <v>0</v>
      </c>
      <c r="Y81" s="383">
        <f t="shared" si="94"/>
        <v>0</v>
      </c>
      <c r="Z81" s="383">
        <f t="shared" si="95"/>
        <v>212.55</v>
      </c>
      <c r="AA81" s="383">
        <f t="shared" si="96"/>
        <v>0</v>
      </c>
      <c r="AB81" s="383">
        <f t="shared" si="97"/>
        <v>0</v>
      </c>
      <c r="AC81" s="383">
        <f t="shared" si="98"/>
        <v>0</v>
      </c>
      <c r="AD81" s="383">
        <f t="shared" si="99"/>
        <v>0</v>
      </c>
      <c r="AE81" s="58"/>
      <c r="AF81" s="383"/>
      <c r="AG81" s="383"/>
      <c r="AH81" s="383"/>
      <c r="AI81" s="383"/>
      <c r="AJ81" s="383"/>
      <c r="AK81" s="383"/>
      <c r="AL81" s="383"/>
      <c r="AM81" s="383"/>
      <c r="AP81" s="383">
        <f t="shared" si="106"/>
        <v>0</v>
      </c>
      <c r="AQ81" s="383">
        <f t="shared" si="107"/>
        <v>0</v>
      </c>
      <c r="AR81" s="383">
        <f t="shared" si="108"/>
        <v>0</v>
      </c>
      <c r="AS81" s="383">
        <f t="shared" si="109"/>
        <v>0</v>
      </c>
      <c r="AT81" s="383">
        <f t="shared" si="110"/>
        <v>0</v>
      </c>
      <c r="AU81" s="383">
        <f t="shared" si="111"/>
        <v>0</v>
      </c>
      <c r="AV81" s="383">
        <f t="shared" si="112"/>
        <v>0</v>
      </c>
      <c r="AW81" s="383">
        <f t="shared" si="113"/>
        <v>0</v>
      </c>
      <c r="AX81" s="58"/>
      <c r="AY81" s="383" t="s">
        <v>93</v>
      </c>
      <c r="AZ81" s="383">
        <v>221</v>
      </c>
      <c r="BA81" s="383">
        <f t="shared" si="114"/>
        <v>0</v>
      </c>
      <c r="BB81" s="383">
        <f t="shared" si="115"/>
        <v>0</v>
      </c>
      <c r="BC81" s="383">
        <f t="shared" si="116"/>
        <v>0</v>
      </c>
      <c r="BD81" s="383">
        <f t="shared" si="117"/>
        <v>221</v>
      </c>
      <c r="BE81" s="383">
        <f t="shared" si="118"/>
        <v>0</v>
      </c>
      <c r="BF81" s="383">
        <f t="shared" si="119"/>
        <v>0</v>
      </c>
      <c r="BG81" s="383">
        <f t="shared" si="120"/>
        <v>0</v>
      </c>
      <c r="BH81" s="383">
        <f t="shared" si="121"/>
        <v>0</v>
      </c>
      <c r="BJ81" s="382" t="s">
        <v>93</v>
      </c>
      <c r="BK81" s="383">
        <v>258</v>
      </c>
      <c r="BL81" s="383">
        <f t="shared" si="122"/>
        <v>0</v>
      </c>
      <c r="BM81" s="383">
        <f t="shared" si="123"/>
        <v>0</v>
      </c>
      <c r="BN81" s="383">
        <f t="shared" si="124"/>
        <v>0</v>
      </c>
      <c r="BO81" s="383">
        <f t="shared" si="125"/>
        <v>258</v>
      </c>
      <c r="BP81" s="383">
        <f t="shared" si="126"/>
        <v>0</v>
      </c>
      <c r="BQ81" s="383">
        <f t="shared" si="127"/>
        <v>0</v>
      </c>
      <c r="BR81" s="383">
        <f t="shared" si="128"/>
        <v>0</v>
      </c>
      <c r="BS81" s="383">
        <f t="shared" si="129"/>
        <v>0</v>
      </c>
    </row>
    <row r="82" spans="1:71" ht="11.25">
      <c r="A82" s="60"/>
      <c r="B82" s="405"/>
      <c r="C82" s="406" t="s">
        <v>92</v>
      </c>
      <c r="D82" s="382" t="s">
        <v>204</v>
      </c>
      <c r="E82" s="383">
        <f>IF(ISERROR(VLOOKUP(C82,'CA Level'!$B$7:$D$86,3,FALSE)),0,VLOOKUP(C82,'CA Level'!$B$7:$D$86,3,FALSE))</f>
        <v>16.2</v>
      </c>
      <c r="F82" s="383">
        <v>22.10211</v>
      </c>
      <c r="G82" s="397">
        <f t="shared" si="81"/>
        <v>5.90211</v>
      </c>
      <c r="H82" s="398">
        <f t="shared" si="82"/>
        <v>0.3643277777777778</v>
      </c>
      <c r="I82" s="417"/>
      <c r="J82" s="415"/>
      <c r="K82" s="46"/>
      <c r="L82" s="388" t="s">
        <v>6</v>
      </c>
      <c r="M82" s="389">
        <f aca="true" t="shared" si="131" ref="M82:Q89">IF($L82=M$22,1,0)</f>
        <v>1</v>
      </c>
      <c r="N82" s="389">
        <f t="shared" si="131"/>
        <v>0</v>
      </c>
      <c r="O82" s="389">
        <f t="shared" si="131"/>
        <v>0</v>
      </c>
      <c r="P82" s="389">
        <f t="shared" si="131"/>
        <v>0</v>
      </c>
      <c r="Q82" s="389">
        <f t="shared" si="131"/>
        <v>0</v>
      </c>
      <c r="R82" s="389">
        <f t="shared" si="130"/>
        <v>0</v>
      </c>
      <c r="S82" s="389">
        <f t="shared" si="130"/>
        <v>0</v>
      </c>
      <c r="T82" s="389">
        <f t="shared" si="130"/>
        <v>0</v>
      </c>
      <c r="U82" s="39">
        <f t="shared" si="91"/>
        <v>0</v>
      </c>
      <c r="W82" s="383">
        <f t="shared" si="92"/>
        <v>16.2</v>
      </c>
      <c r="X82" s="383">
        <f t="shared" si="93"/>
        <v>0</v>
      </c>
      <c r="Y82" s="383">
        <f t="shared" si="94"/>
        <v>0</v>
      </c>
      <c r="Z82" s="383">
        <f t="shared" si="95"/>
        <v>0</v>
      </c>
      <c r="AA82" s="383">
        <f t="shared" si="96"/>
        <v>0</v>
      </c>
      <c r="AB82" s="383">
        <f t="shared" si="97"/>
        <v>0</v>
      </c>
      <c r="AC82" s="383">
        <f t="shared" si="98"/>
        <v>0</v>
      </c>
      <c r="AD82" s="383">
        <f t="shared" si="99"/>
        <v>0</v>
      </c>
      <c r="AE82" s="58"/>
      <c r="AF82" s="383"/>
      <c r="AG82" s="383"/>
      <c r="AH82" s="383"/>
      <c r="AI82" s="383"/>
      <c r="AJ82" s="383"/>
      <c r="AK82" s="383"/>
      <c r="AL82" s="383"/>
      <c r="AM82" s="383"/>
      <c r="AP82" s="383">
        <f t="shared" si="106"/>
        <v>22.10211</v>
      </c>
      <c r="AQ82" s="383">
        <f t="shared" si="107"/>
        <v>0</v>
      </c>
      <c r="AR82" s="383">
        <f t="shared" si="108"/>
        <v>0</v>
      </c>
      <c r="AS82" s="383">
        <f t="shared" si="109"/>
        <v>0</v>
      </c>
      <c r="AT82" s="383">
        <f t="shared" si="110"/>
        <v>0</v>
      </c>
      <c r="AU82" s="383">
        <f t="shared" si="111"/>
        <v>0</v>
      </c>
      <c r="AV82" s="383">
        <f t="shared" si="112"/>
        <v>0</v>
      </c>
      <c r="AW82" s="383">
        <f t="shared" si="113"/>
        <v>0</v>
      </c>
      <c r="AX82" s="58"/>
      <c r="AY82" s="383" t="s">
        <v>92</v>
      </c>
      <c r="AZ82" s="383">
        <v>38</v>
      </c>
      <c r="BA82" s="383">
        <f t="shared" si="114"/>
        <v>38</v>
      </c>
      <c r="BB82" s="383">
        <f t="shared" si="115"/>
        <v>0</v>
      </c>
      <c r="BC82" s="383">
        <f t="shared" si="116"/>
        <v>0</v>
      </c>
      <c r="BD82" s="383">
        <f t="shared" si="117"/>
        <v>0</v>
      </c>
      <c r="BE82" s="383">
        <f t="shared" si="118"/>
        <v>0</v>
      </c>
      <c r="BF82" s="383">
        <f t="shared" si="119"/>
        <v>0</v>
      </c>
      <c r="BG82" s="383">
        <f t="shared" si="120"/>
        <v>0</v>
      </c>
      <c r="BH82" s="383">
        <f t="shared" si="121"/>
        <v>0</v>
      </c>
      <c r="BJ82" s="382" t="s">
        <v>92</v>
      </c>
      <c r="BK82" s="383">
        <v>53</v>
      </c>
      <c r="BL82" s="383">
        <f t="shared" si="122"/>
        <v>53</v>
      </c>
      <c r="BM82" s="383">
        <f t="shared" si="123"/>
        <v>0</v>
      </c>
      <c r="BN82" s="383">
        <f t="shared" si="124"/>
        <v>0</v>
      </c>
      <c r="BO82" s="383">
        <f t="shared" si="125"/>
        <v>0</v>
      </c>
      <c r="BP82" s="383">
        <f t="shared" si="126"/>
        <v>0</v>
      </c>
      <c r="BQ82" s="383">
        <f t="shared" si="127"/>
        <v>0</v>
      </c>
      <c r="BR82" s="383">
        <f t="shared" si="128"/>
        <v>0</v>
      </c>
      <c r="BS82" s="383">
        <f t="shared" si="129"/>
        <v>0</v>
      </c>
    </row>
    <row r="83" spans="1:71" ht="11.25">
      <c r="A83" s="60"/>
      <c r="B83" s="405"/>
      <c r="C83" s="406" t="s">
        <v>91</v>
      </c>
      <c r="D83" s="382" t="s">
        <v>203</v>
      </c>
      <c r="E83" s="383">
        <f>IF(ISERROR(VLOOKUP(C83,'CA Level'!$B$7:$D$86,3,FALSE)),0,VLOOKUP(C83,'CA Level'!$B$7:$D$86,3,FALSE))</f>
        <v>2441.9</v>
      </c>
      <c r="F83" s="383">
        <v>7348.53247</v>
      </c>
      <c r="G83" s="397">
        <f t="shared" si="81"/>
        <v>4906.6324700000005</v>
      </c>
      <c r="H83" s="398">
        <f t="shared" si="82"/>
        <v>2.0093502887096113</v>
      </c>
      <c r="I83" s="417"/>
      <c r="J83" s="415"/>
      <c r="K83" s="46"/>
      <c r="L83" s="388" t="s">
        <v>6</v>
      </c>
      <c r="M83" s="389">
        <f t="shared" si="131"/>
        <v>1</v>
      </c>
      <c r="N83" s="389">
        <f t="shared" si="131"/>
        <v>0</v>
      </c>
      <c r="O83" s="389">
        <f t="shared" si="131"/>
        <v>0</v>
      </c>
      <c r="P83" s="389">
        <f t="shared" si="131"/>
        <v>0</v>
      </c>
      <c r="Q83" s="389">
        <f t="shared" si="131"/>
        <v>0</v>
      </c>
      <c r="R83" s="389">
        <f t="shared" si="130"/>
        <v>0</v>
      </c>
      <c r="S83" s="389">
        <f t="shared" si="130"/>
        <v>0</v>
      </c>
      <c r="T83" s="389">
        <f t="shared" si="130"/>
        <v>0</v>
      </c>
      <c r="U83" s="39">
        <f t="shared" si="91"/>
        <v>0</v>
      </c>
      <c r="W83" s="383">
        <f t="shared" si="92"/>
        <v>2441.9</v>
      </c>
      <c r="X83" s="383">
        <f t="shared" si="93"/>
        <v>0</v>
      </c>
      <c r="Y83" s="383">
        <f t="shared" si="94"/>
        <v>0</v>
      </c>
      <c r="Z83" s="383">
        <f t="shared" si="95"/>
        <v>0</v>
      </c>
      <c r="AA83" s="383">
        <f t="shared" si="96"/>
        <v>0</v>
      </c>
      <c r="AB83" s="383">
        <f t="shared" si="97"/>
        <v>0</v>
      </c>
      <c r="AC83" s="383">
        <f t="shared" si="98"/>
        <v>0</v>
      </c>
      <c r="AD83" s="383">
        <f t="shared" si="99"/>
        <v>0</v>
      </c>
      <c r="AE83" s="58"/>
      <c r="AF83" s="383"/>
      <c r="AG83" s="383"/>
      <c r="AH83" s="383"/>
      <c r="AI83" s="383"/>
      <c r="AJ83" s="383"/>
      <c r="AK83" s="383"/>
      <c r="AL83" s="383"/>
      <c r="AM83" s="383"/>
      <c r="AP83" s="383">
        <f t="shared" si="106"/>
        <v>7348.53247</v>
      </c>
      <c r="AQ83" s="383">
        <f t="shared" si="107"/>
        <v>0</v>
      </c>
      <c r="AR83" s="383">
        <f t="shared" si="108"/>
        <v>0</v>
      </c>
      <c r="AS83" s="383">
        <f t="shared" si="109"/>
        <v>0</v>
      </c>
      <c r="AT83" s="383">
        <f t="shared" si="110"/>
        <v>0</v>
      </c>
      <c r="AU83" s="383">
        <f t="shared" si="111"/>
        <v>0</v>
      </c>
      <c r="AV83" s="383">
        <f t="shared" si="112"/>
        <v>0</v>
      </c>
      <c r="AW83" s="383">
        <f t="shared" si="113"/>
        <v>0</v>
      </c>
      <c r="AX83" s="58"/>
      <c r="AY83" s="383" t="s">
        <v>91</v>
      </c>
      <c r="AZ83" s="383">
        <v>2881</v>
      </c>
      <c r="BA83" s="383">
        <f t="shared" si="114"/>
        <v>2881</v>
      </c>
      <c r="BB83" s="383">
        <f t="shared" si="115"/>
        <v>0</v>
      </c>
      <c r="BC83" s="383">
        <f t="shared" si="116"/>
        <v>0</v>
      </c>
      <c r="BD83" s="383">
        <f t="shared" si="117"/>
        <v>0</v>
      </c>
      <c r="BE83" s="383">
        <f t="shared" si="118"/>
        <v>0</v>
      </c>
      <c r="BF83" s="383">
        <f t="shared" si="119"/>
        <v>0</v>
      </c>
      <c r="BG83" s="383">
        <f t="shared" si="120"/>
        <v>0</v>
      </c>
      <c r="BH83" s="383">
        <f t="shared" si="121"/>
        <v>0</v>
      </c>
      <c r="BJ83" s="382" t="s">
        <v>91</v>
      </c>
      <c r="BK83" s="383">
        <v>6753</v>
      </c>
      <c r="BL83" s="383">
        <f t="shared" si="122"/>
        <v>6753</v>
      </c>
      <c r="BM83" s="383">
        <f t="shared" si="123"/>
        <v>0</v>
      </c>
      <c r="BN83" s="383">
        <f t="shared" si="124"/>
        <v>0</v>
      </c>
      <c r="BO83" s="383">
        <f t="shared" si="125"/>
        <v>0</v>
      </c>
      <c r="BP83" s="383">
        <f t="shared" si="126"/>
        <v>0</v>
      </c>
      <c r="BQ83" s="383">
        <f t="shared" si="127"/>
        <v>0</v>
      </c>
      <c r="BR83" s="383">
        <f t="shared" si="128"/>
        <v>0</v>
      </c>
      <c r="BS83" s="383">
        <f t="shared" si="129"/>
        <v>0</v>
      </c>
    </row>
    <row r="84" spans="1:71" ht="11.25">
      <c r="A84" s="60"/>
      <c r="B84" s="405"/>
      <c r="C84" s="406" t="s">
        <v>90</v>
      </c>
      <c r="D84" s="382" t="s">
        <v>202</v>
      </c>
      <c r="E84" s="383">
        <f>IF(ISERROR(VLOOKUP(C84,'CA Level'!$B$7:$D$86,3,FALSE)),0,VLOOKUP(C84,'CA Level'!$B$7:$D$86,3,FALSE))</f>
        <v>47.2</v>
      </c>
      <c r="F84" s="383">
        <v>319.15683</v>
      </c>
      <c r="G84" s="397">
        <f t="shared" si="81"/>
        <v>271.95683</v>
      </c>
      <c r="H84" s="398">
        <f t="shared" si="82"/>
        <v>5.761797245762712</v>
      </c>
      <c r="I84" s="417"/>
      <c r="J84" s="415"/>
      <c r="K84" s="46"/>
      <c r="L84" s="388" t="s">
        <v>17</v>
      </c>
      <c r="M84" s="389">
        <f t="shared" si="131"/>
        <v>0</v>
      </c>
      <c r="N84" s="389">
        <f t="shared" si="131"/>
        <v>0</v>
      </c>
      <c r="O84" s="389">
        <f t="shared" si="131"/>
        <v>1</v>
      </c>
      <c r="P84" s="389">
        <f t="shared" si="131"/>
        <v>0</v>
      </c>
      <c r="Q84" s="389">
        <f t="shared" si="131"/>
        <v>0</v>
      </c>
      <c r="R84" s="389">
        <f t="shared" si="130"/>
        <v>0</v>
      </c>
      <c r="S84" s="389">
        <f t="shared" si="130"/>
        <v>0</v>
      </c>
      <c r="T84" s="389">
        <f t="shared" si="130"/>
        <v>0</v>
      </c>
      <c r="U84" s="39">
        <f t="shared" si="91"/>
        <v>0</v>
      </c>
      <c r="W84" s="383">
        <f t="shared" si="92"/>
        <v>0</v>
      </c>
      <c r="X84" s="383">
        <f t="shared" si="93"/>
        <v>0</v>
      </c>
      <c r="Y84" s="383">
        <f t="shared" si="94"/>
        <v>47.2</v>
      </c>
      <c r="Z84" s="383">
        <f t="shared" si="95"/>
        <v>0</v>
      </c>
      <c r="AA84" s="383">
        <f t="shared" si="96"/>
        <v>0</v>
      </c>
      <c r="AB84" s="383">
        <f t="shared" si="97"/>
        <v>0</v>
      </c>
      <c r="AC84" s="383">
        <f t="shared" si="98"/>
        <v>0</v>
      </c>
      <c r="AD84" s="383">
        <f t="shared" si="99"/>
        <v>0</v>
      </c>
      <c r="AE84" s="58"/>
      <c r="AF84" s="383"/>
      <c r="AG84" s="383"/>
      <c r="AH84" s="383"/>
      <c r="AI84" s="383"/>
      <c r="AJ84" s="383"/>
      <c r="AK84" s="383"/>
      <c r="AL84" s="383"/>
      <c r="AM84" s="383"/>
      <c r="AP84" s="383">
        <f t="shared" si="106"/>
        <v>0</v>
      </c>
      <c r="AQ84" s="383">
        <f t="shared" si="107"/>
        <v>0</v>
      </c>
      <c r="AR84" s="383">
        <f t="shared" si="108"/>
        <v>319.15683</v>
      </c>
      <c r="AS84" s="383">
        <f t="shared" si="109"/>
        <v>0</v>
      </c>
      <c r="AT84" s="383">
        <f t="shared" si="110"/>
        <v>0</v>
      </c>
      <c r="AU84" s="383">
        <f t="shared" si="111"/>
        <v>0</v>
      </c>
      <c r="AV84" s="383">
        <f t="shared" si="112"/>
        <v>0</v>
      </c>
      <c r="AW84" s="383">
        <f t="shared" si="113"/>
        <v>0</v>
      </c>
      <c r="AX84" s="58"/>
      <c r="AY84" s="383" t="s">
        <v>90</v>
      </c>
      <c r="AZ84" s="383">
        <v>69</v>
      </c>
      <c r="BA84" s="383">
        <f t="shared" si="114"/>
        <v>0</v>
      </c>
      <c r="BB84" s="383">
        <f t="shared" si="115"/>
        <v>0</v>
      </c>
      <c r="BC84" s="383">
        <f t="shared" si="116"/>
        <v>69</v>
      </c>
      <c r="BD84" s="383">
        <f t="shared" si="117"/>
        <v>0</v>
      </c>
      <c r="BE84" s="383">
        <f t="shared" si="118"/>
        <v>0</v>
      </c>
      <c r="BF84" s="383">
        <f t="shared" si="119"/>
        <v>0</v>
      </c>
      <c r="BG84" s="383">
        <f t="shared" si="120"/>
        <v>0</v>
      </c>
      <c r="BH84" s="383">
        <f t="shared" si="121"/>
        <v>0</v>
      </c>
      <c r="BJ84" s="382" t="s">
        <v>90</v>
      </c>
      <c r="BK84" s="383">
        <v>53</v>
      </c>
      <c r="BL84" s="383">
        <f t="shared" si="122"/>
        <v>0</v>
      </c>
      <c r="BM84" s="383">
        <f t="shared" si="123"/>
        <v>0</v>
      </c>
      <c r="BN84" s="383">
        <f t="shared" si="124"/>
        <v>53</v>
      </c>
      <c r="BO84" s="383">
        <f t="shared" si="125"/>
        <v>0</v>
      </c>
      <c r="BP84" s="383">
        <f t="shared" si="126"/>
        <v>0</v>
      </c>
      <c r="BQ84" s="383">
        <f t="shared" si="127"/>
        <v>0</v>
      </c>
      <c r="BR84" s="383">
        <f t="shared" si="128"/>
        <v>0</v>
      </c>
      <c r="BS84" s="383">
        <f t="shared" si="129"/>
        <v>0</v>
      </c>
    </row>
    <row r="85" spans="1:71" ht="11.25">
      <c r="A85" s="60"/>
      <c r="B85" s="405"/>
      <c r="C85" s="406" t="s">
        <v>89</v>
      </c>
      <c r="D85" s="382" t="s">
        <v>201</v>
      </c>
      <c r="E85" s="383">
        <f>IF(ISERROR(VLOOKUP(C85,'CA Level'!$B$7:$D$86,3,FALSE)),0,VLOOKUP(C85,'CA Level'!$B$7:$D$86,3,FALSE))</f>
        <v>1016</v>
      </c>
      <c r="F85" s="383">
        <v>2372.7505</v>
      </c>
      <c r="G85" s="397">
        <f t="shared" si="81"/>
        <v>1356.7505</v>
      </c>
      <c r="H85" s="398">
        <f t="shared" si="82"/>
        <v>1.3353843503937008</v>
      </c>
      <c r="I85" s="417"/>
      <c r="J85" s="415"/>
      <c r="K85" s="46"/>
      <c r="L85" s="388" t="s">
        <v>17</v>
      </c>
      <c r="M85" s="389">
        <f t="shared" si="131"/>
        <v>0</v>
      </c>
      <c r="N85" s="389">
        <f t="shared" si="131"/>
        <v>0</v>
      </c>
      <c r="O85" s="389">
        <f t="shared" si="131"/>
        <v>1</v>
      </c>
      <c r="P85" s="389">
        <f t="shared" si="131"/>
        <v>0</v>
      </c>
      <c r="Q85" s="389">
        <f t="shared" si="131"/>
        <v>0</v>
      </c>
      <c r="R85" s="389">
        <f t="shared" si="130"/>
        <v>0</v>
      </c>
      <c r="S85" s="389">
        <f t="shared" si="130"/>
        <v>0</v>
      </c>
      <c r="T85" s="389">
        <f t="shared" si="130"/>
        <v>0</v>
      </c>
      <c r="U85" s="39">
        <f t="shared" si="91"/>
        <v>0</v>
      </c>
      <c r="W85" s="383">
        <f t="shared" si="92"/>
        <v>0</v>
      </c>
      <c r="X85" s="383">
        <f t="shared" si="93"/>
        <v>0</v>
      </c>
      <c r="Y85" s="383">
        <f t="shared" si="94"/>
        <v>1016</v>
      </c>
      <c r="Z85" s="383">
        <f t="shared" si="95"/>
        <v>0</v>
      </c>
      <c r="AA85" s="383">
        <f t="shared" si="96"/>
        <v>0</v>
      </c>
      <c r="AB85" s="383">
        <f t="shared" si="97"/>
        <v>0</v>
      </c>
      <c r="AC85" s="383">
        <f t="shared" si="98"/>
        <v>0</v>
      </c>
      <c r="AD85" s="383">
        <f t="shared" si="99"/>
        <v>0</v>
      </c>
      <c r="AE85" s="58"/>
      <c r="AF85" s="383"/>
      <c r="AG85" s="383"/>
      <c r="AH85" s="383"/>
      <c r="AI85" s="383"/>
      <c r="AJ85" s="383"/>
      <c r="AK85" s="383"/>
      <c r="AL85" s="383"/>
      <c r="AM85" s="383"/>
      <c r="AP85" s="383">
        <f t="shared" si="106"/>
        <v>0</v>
      </c>
      <c r="AQ85" s="383">
        <f t="shared" si="107"/>
        <v>0</v>
      </c>
      <c r="AR85" s="383">
        <f t="shared" si="108"/>
        <v>2372.7505</v>
      </c>
      <c r="AS85" s="383">
        <f t="shared" si="109"/>
        <v>0</v>
      </c>
      <c r="AT85" s="383">
        <f t="shared" si="110"/>
        <v>0</v>
      </c>
      <c r="AU85" s="383">
        <f t="shared" si="111"/>
        <v>0</v>
      </c>
      <c r="AV85" s="383">
        <f t="shared" si="112"/>
        <v>0</v>
      </c>
      <c r="AW85" s="383">
        <f t="shared" si="113"/>
        <v>0</v>
      </c>
      <c r="AX85" s="58"/>
      <c r="AY85" s="383" t="s">
        <v>89</v>
      </c>
      <c r="AZ85" s="383">
        <v>790</v>
      </c>
      <c r="BA85" s="383">
        <f t="shared" si="114"/>
        <v>0</v>
      </c>
      <c r="BB85" s="383">
        <f t="shared" si="115"/>
        <v>0</v>
      </c>
      <c r="BC85" s="383">
        <f t="shared" si="116"/>
        <v>790</v>
      </c>
      <c r="BD85" s="383">
        <f t="shared" si="117"/>
        <v>0</v>
      </c>
      <c r="BE85" s="383">
        <f t="shared" si="118"/>
        <v>0</v>
      </c>
      <c r="BF85" s="383">
        <f t="shared" si="119"/>
        <v>0</v>
      </c>
      <c r="BG85" s="383">
        <f t="shared" si="120"/>
        <v>0</v>
      </c>
      <c r="BH85" s="383">
        <f t="shared" si="121"/>
        <v>0</v>
      </c>
      <c r="BJ85" s="382" t="s">
        <v>89</v>
      </c>
      <c r="BK85" s="383">
        <v>2540</v>
      </c>
      <c r="BL85" s="383">
        <f t="shared" si="122"/>
        <v>0</v>
      </c>
      <c r="BM85" s="383">
        <f t="shared" si="123"/>
        <v>0</v>
      </c>
      <c r="BN85" s="383">
        <f t="shared" si="124"/>
        <v>2540</v>
      </c>
      <c r="BO85" s="383">
        <f t="shared" si="125"/>
        <v>0</v>
      </c>
      <c r="BP85" s="383">
        <f t="shared" si="126"/>
        <v>0</v>
      </c>
      <c r="BQ85" s="383">
        <f t="shared" si="127"/>
        <v>0</v>
      </c>
      <c r="BR85" s="383">
        <f t="shared" si="128"/>
        <v>0</v>
      </c>
      <c r="BS85" s="383">
        <f t="shared" si="129"/>
        <v>0</v>
      </c>
    </row>
    <row r="86" spans="1:71" ht="11.25">
      <c r="A86" s="60"/>
      <c r="B86" s="405"/>
      <c r="C86" s="406" t="s">
        <v>88</v>
      </c>
      <c r="D86" s="382" t="s">
        <v>200</v>
      </c>
      <c r="E86" s="383">
        <f>IF(ISERROR(VLOOKUP(C86,'CA Level'!$B$7:$D$86,3,FALSE)),0,VLOOKUP(C86,'CA Level'!$B$7:$D$86,3,FALSE))</f>
        <v>631.2</v>
      </c>
      <c r="F86" s="383">
        <v>30.76496</v>
      </c>
      <c r="G86" s="397">
        <f aca="true" t="shared" si="132" ref="G86:G113">F86-E86</f>
        <v>-600.4350400000001</v>
      </c>
      <c r="H86" s="398">
        <f aca="true" t="shared" si="133" ref="H86:H113">IF(E86=0,"'NA'",G86/E86)</f>
        <v>-0.9512595690747783</v>
      </c>
      <c r="I86" s="417"/>
      <c r="J86" s="415"/>
      <c r="K86" s="46"/>
      <c r="L86" s="388" t="s">
        <v>17</v>
      </c>
      <c r="M86" s="389">
        <f t="shared" si="131"/>
        <v>0</v>
      </c>
      <c r="N86" s="389">
        <f t="shared" si="131"/>
        <v>0</v>
      </c>
      <c r="O86" s="389">
        <f t="shared" si="131"/>
        <v>1</v>
      </c>
      <c r="P86" s="389">
        <f t="shared" si="131"/>
        <v>0</v>
      </c>
      <c r="Q86" s="389">
        <f t="shared" si="131"/>
        <v>0</v>
      </c>
      <c r="R86" s="389">
        <f t="shared" si="130"/>
        <v>0</v>
      </c>
      <c r="S86" s="389">
        <f t="shared" si="130"/>
        <v>0</v>
      </c>
      <c r="T86" s="389">
        <f t="shared" si="130"/>
        <v>0</v>
      </c>
      <c r="U86" s="39">
        <f t="shared" si="91"/>
        <v>0</v>
      </c>
      <c r="W86" s="383">
        <f t="shared" si="92"/>
        <v>0</v>
      </c>
      <c r="X86" s="383">
        <f t="shared" si="93"/>
        <v>0</v>
      </c>
      <c r="Y86" s="383">
        <f t="shared" si="94"/>
        <v>631.2</v>
      </c>
      <c r="Z86" s="383">
        <f t="shared" si="95"/>
        <v>0</v>
      </c>
      <c r="AA86" s="383">
        <f t="shared" si="96"/>
        <v>0</v>
      </c>
      <c r="AB86" s="383">
        <f t="shared" si="97"/>
        <v>0</v>
      </c>
      <c r="AC86" s="383">
        <f t="shared" si="98"/>
        <v>0</v>
      </c>
      <c r="AD86" s="383">
        <f t="shared" si="99"/>
        <v>0</v>
      </c>
      <c r="AE86" s="58"/>
      <c r="AF86" s="383"/>
      <c r="AG86" s="383"/>
      <c r="AH86" s="383"/>
      <c r="AI86" s="383"/>
      <c r="AJ86" s="383"/>
      <c r="AK86" s="383"/>
      <c r="AL86" s="383"/>
      <c r="AM86" s="383"/>
      <c r="AP86" s="383">
        <f t="shared" si="106"/>
        <v>0</v>
      </c>
      <c r="AQ86" s="383">
        <f t="shared" si="107"/>
        <v>0</v>
      </c>
      <c r="AR86" s="383">
        <f t="shared" si="108"/>
        <v>30.76496</v>
      </c>
      <c r="AS86" s="383">
        <f t="shared" si="109"/>
        <v>0</v>
      </c>
      <c r="AT86" s="383">
        <f t="shared" si="110"/>
        <v>0</v>
      </c>
      <c r="AU86" s="383">
        <f t="shared" si="111"/>
        <v>0</v>
      </c>
      <c r="AV86" s="383">
        <f t="shared" si="112"/>
        <v>0</v>
      </c>
      <c r="AW86" s="383">
        <f t="shared" si="113"/>
        <v>0</v>
      </c>
      <c r="AX86" s="58"/>
      <c r="AY86" s="383" t="s">
        <v>88</v>
      </c>
      <c r="AZ86" s="383">
        <v>16</v>
      </c>
      <c r="BA86" s="383">
        <f t="shared" si="114"/>
        <v>0</v>
      </c>
      <c r="BB86" s="383">
        <f t="shared" si="115"/>
        <v>0</v>
      </c>
      <c r="BC86" s="383">
        <f t="shared" si="116"/>
        <v>16</v>
      </c>
      <c r="BD86" s="383">
        <f t="shared" si="117"/>
        <v>0</v>
      </c>
      <c r="BE86" s="383">
        <f t="shared" si="118"/>
        <v>0</v>
      </c>
      <c r="BF86" s="383">
        <f t="shared" si="119"/>
        <v>0</v>
      </c>
      <c r="BG86" s="383">
        <f t="shared" si="120"/>
        <v>0</v>
      </c>
      <c r="BH86" s="383">
        <f t="shared" si="121"/>
        <v>0</v>
      </c>
      <c r="BJ86" s="382" t="s">
        <v>88</v>
      </c>
      <c r="BK86" s="383">
        <v>16</v>
      </c>
      <c r="BL86" s="383">
        <f t="shared" si="122"/>
        <v>0</v>
      </c>
      <c r="BM86" s="383">
        <f t="shared" si="123"/>
        <v>0</v>
      </c>
      <c r="BN86" s="383">
        <f t="shared" si="124"/>
        <v>16</v>
      </c>
      <c r="BO86" s="383">
        <f t="shared" si="125"/>
        <v>0</v>
      </c>
      <c r="BP86" s="383">
        <f t="shared" si="126"/>
        <v>0</v>
      </c>
      <c r="BQ86" s="383">
        <f t="shared" si="127"/>
        <v>0</v>
      </c>
      <c r="BR86" s="383">
        <f t="shared" si="128"/>
        <v>0</v>
      </c>
      <c r="BS86" s="383">
        <f t="shared" si="129"/>
        <v>0</v>
      </c>
    </row>
    <row r="87" spans="1:71" ht="11.25">
      <c r="A87" s="60"/>
      <c r="B87" s="405"/>
      <c r="C87" s="406" t="s">
        <v>87</v>
      </c>
      <c r="D87" s="382" t="s">
        <v>199</v>
      </c>
      <c r="E87" s="383">
        <f>IF(ISERROR(VLOOKUP(C87,'CA Level'!$B$7:$D$86,3,FALSE)),0,VLOOKUP(C87,'CA Level'!$B$7:$D$86,3,FALSE))</f>
        <v>0</v>
      </c>
      <c r="F87" s="383">
        <v>171.70759</v>
      </c>
      <c r="G87" s="397">
        <f t="shared" si="132"/>
        <v>171.70759</v>
      </c>
      <c r="H87" s="398" t="str">
        <f t="shared" si="133"/>
        <v>'NA'</v>
      </c>
      <c r="I87" s="417"/>
      <c r="J87" s="415"/>
      <c r="K87" s="46"/>
      <c r="L87" s="388" t="s">
        <v>17</v>
      </c>
      <c r="M87" s="389">
        <f t="shared" si="131"/>
        <v>0</v>
      </c>
      <c r="N87" s="389">
        <f t="shared" si="131"/>
        <v>0</v>
      </c>
      <c r="O87" s="389">
        <f t="shared" si="131"/>
        <v>1</v>
      </c>
      <c r="P87" s="389">
        <f t="shared" si="131"/>
        <v>0</v>
      </c>
      <c r="Q87" s="389">
        <f t="shared" si="131"/>
        <v>0</v>
      </c>
      <c r="R87" s="389">
        <f t="shared" si="130"/>
        <v>0</v>
      </c>
      <c r="S87" s="389">
        <f t="shared" si="130"/>
        <v>0</v>
      </c>
      <c r="T87" s="389">
        <f t="shared" si="130"/>
        <v>0</v>
      </c>
      <c r="U87" s="39">
        <f t="shared" si="91"/>
        <v>0</v>
      </c>
      <c r="W87" s="383">
        <f t="shared" si="92"/>
        <v>0</v>
      </c>
      <c r="X87" s="383">
        <f t="shared" si="93"/>
        <v>0</v>
      </c>
      <c r="Y87" s="383">
        <f t="shared" si="94"/>
        <v>0</v>
      </c>
      <c r="Z87" s="383">
        <f t="shared" si="95"/>
        <v>0</v>
      </c>
      <c r="AA87" s="383">
        <f t="shared" si="96"/>
        <v>0</v>
      </c>
      <c r="AB87" s="383">
        <f t="shared" si="97"/>
        <v>0</v>
      </c>
      <c r="AC87" s="383">
        <f t="shared" si="98"/>
        <v>0</v>
      </c>
      <c r="AD87" s="383">
        <f t="shared" si="99"/>
        <v>0</v>
      </c>
      <c r="AE87" s="58"/>
      <c r="AF87" s="383"/>
      <c r="AG87" s="383"/>
      <c r="AH87" s="383"/>
      <c r="AI87" s="383"/>
      <c r="AJ87" s="383"/>
      <c r="AK87" s="383"/>
      <c r="AL87" s="383"/>
      <c r="AM87" s="383"/>
      <c r="AP87" s="383">
        <f t="shared" si="106"/>
        <v>0</v>
      </c>
      <c r="AQ87" s="383">
        <f t="shared" si="107"/>
        <v>0</v>
      </c>
      <c r="AR87" s="383">
        <f t="shared" si="108"/>
        <v>171.70759</v>
      </c>
      <c r="AS87" s="383">
        <f t="shared" si="109"/>
        <v>0</v>
      </c>
      <c r="AT87" s="383">
        <f t="shared" si="110"/>
        <v>0</v>
      </c>
      <c r="AU87" s="383">
        <f t="shared" si="111"/>
        <v>0</v>
      </c>
      <c r="AV87" s="383">
        <f t="shared" si="112"/>
        <v>0</v>
      </c>
      <c r="AW87" s="383">
        <f t="shared" si="113"/>
        <v>0</v>
      </c>
      <c r="AX87" s="58"/>
      <c r="AY87" s="383" t="s">
        <v>87</v>
      </c>
      <c r="AZ87" s="383">
        <v>124</v>
      </c>
      <c r="BA87" s="383">
        <f t="shared" si="114"/>
        <v>0</v>
      </c>
      <c r="BB87" s="383">
        <f t="shared" si="115"/>
        <v>0</v>
      </c>
      <c r="BC87" s="383">
        <f t="shared" si="116"/>
        <v>124</v>
      </c>
      <c r="BD87" s="383">
        <f t="shared" si="117"/>
        <v>0</v>
      </c>
      <c r="BE87" s="383">
        <f t="shared" si="118"/>
        <v>0</v>
      </c>
      <c r="BF87" s="383">
        <f t="shared" si="119"/>
        <v>0</v>
      </c>
      <c r="BG87" s="383">
        <f t="shared" si="120"/>
        <v>0</v>
      </c>
      <c r="BH87" s="383">
        <f t="shared" si="121"/>
        <v>0</v>
      </c>
      <c r="BJ87" s="382" t="s">
        <v>87</v>
      </c>
      <c r="BK87" s="383">
        <v>159</v>
      </c>
      <c r="BL87" s="383">
        <f t="shared" si="122"/>
        <v>0</v>
      </c>
      <c r="BM87" s="383">
        <f t="shared" si="123"/>
        <v>0</v>
      </c>
      <c r="BN87" s="383">
        <f t="shared" si="124"/>
        <v>159</v>
      </c>
      <c r="BO87" s="383">
        <f t="shared" si="125"/>
        <v>0</v>
      </c>
      <c r="BP87" s="383">
        <f t="shared" si="126"/>
        <v>0</v>
      </c>
      <c r="BQ87" s="383">
        <f t="shared" si="127"/>
        <v>0</v>
      </c>
      <c r="BR87" s="383">
        <f t="shared" si="128"/>
        <v>0</v>
      </c>
      <c r="BS87" s="383">
        <f t="shared" si="129"/>
        <v>0</v>
      </c>
    </row>
    <row r="88" spans="1:71" ht="11.25">
      <c r="A88" s="60"/>
      <c r="B88" s="405"/>
      <c r="C88" s="406" t="s">
        <v>86</v>
      </c>
      <c r="D88" s="382" t="s">
        <v>198</v>
      </c>
      <c r="E88" s="383">
        <f>IF(ISERROR(VLOOKUP(C88,'CA Level'!$B$7:$D$86,3,FALSE)),0,VLOOKUP(C88,'CA Level'!$B$7:$D$86,3,FALSE))</f>
        <v>100</v>
      </c>
      <c r="F88" s="383">
        <v>12</v>
      </c>
      <c r="G88" s="397">
        <f t="shared" si="132"/>
        <v>-88</v>
      </c>
      <c r="H88" s="398">
        <f t="shared" si="133"/>
        <v>-0.88</v>
      </c>
      <c r="I88" s="417"/>
      <c r="J88" s="415"/>
      <c r="K88" s="46"/>
      <c r="L88" s="388" t="s">
        <v>6</v>
      </c>
      <c r="M88" s="389">
        <f t="shared" si="131"/>
        <v>1</v>
      </c>
      <c r="N88" s="389">
        <f t="shared" si="131"/>
        <v>0</v>
      </c>
      <c r="O88" s="389">
        <f t="shared" si="131"/>
        <v>0</v>
      </c>
      <c r="P88" s="389">
        <f t="shared" si="131"/>
        <v>0</v>
      </c>
      <c r="Q88" s="389">
        <f t="shared" si="131"/>
        <v>0</v>
      </c>
      <c r="R88" s="389">
        <f t="shared" si="130"/>
        <v>0</v>
      </c>
      <c r="S88" s="389">
        <f t="shared" si="130"/>
        <v>0</v>
      </c>
      <c r="T88" s="389">
        <f t="shared" si="130"/>
        <v>0</v>
      </c>
      <c r="U88" s="39">
        <f aca="true" t="shared" si="134" ref="U88:U113">SUM(M88:T88)-1</f>
        <v>0</v>
      </c>
      <c r="W88" s="383">
        <f aca="true" t="shared" si="135" ref="W88:W113">$E88*M88</f>
        <v>100</v>
      </c>
      <c r="X88" s="383">
        <f aca="true" t="shared" si="136" ref="X88:X113">$E88*N88</f>
        <v>0</v>
      </c>
      <c r="Y88" s="383">
        <f aca="true" t="shared" si="137" ref="Y88:Y113">$E88*O88</f>
        <v>0</v>
      </c>
      <c r="Z88" s="383">
        <f aca="true" t="shared" si="138" ref="Z88:Z113">$E88*P88</f>
        <v>0</v>
      </c>
      <c r="AA88" s="383">
        <f aca="true" t="shared" si="139" ref="AA88:AA113">$E88*Q88</f>
        <v>0</v>
      </c>
      <c r="AB88" s="383">
        <f aca="true" t="shared" si="140" ref="AB88:AB113">$E88*R88</f>
        <v>0</v>
      </c>
      <c r="AC88" s="383">
        <f aca="true" t="shared" si="141" ref="AC88:AC113">$E88*S88</f>
        <v>0</v>
      </c>
      <c r="AD88" s="383">
        <f aca="true" t="shared" si="142" ref="AD88:AD113">$E88*T88</f>
        <v>0</v>
      </c>
      <c r="AE88" s="58"/>
      <c r="AF88" s="383"/>
      <c r="AG88" s="383"/>
      <c r="AH88" s="383"/>
      <c r="AI88" s="383"/>
      <c r="AJ88" s="383"/>
      <c r="AK88" s="383"/>
      <c r="AL88" s="383"/>
      <c r="AM88" s="383"/>
      <c r="AP88" s="383">
        <f t="shared" si="106"/>
        <v>12</v>
      </c>
      <c r="AQ88" s="383">
        <f t="shared" si="107"/>
        <v>0</v>
      </c>
      <c r="AR88" s="383">
        <f t="shared" si="108"/>
        <v>0</v>
      </c>
      <c r="AS88" s="383">
        <f t="shared" si="109"/>
        <v>0</v>
      </c>
      <c r="AT88" s="383">
        <f t="shared" si="110"/>
        <v>0</v>
      </c>
      <c r="AU88" s="383">
        <f t="shared" si="111"/>
        <v>0</v>
      </c>
      <c r="AV88" s="383">
        <f t="shared" si="112"/>
        <v>0</v>
      </c>
      <c r="AW88" s="383">
        <f t="shared" si="113"/>
        <v>0</v>
      </c>
      <c r="AX88" s="58"/>
      <c r="AY88" s="383" t="s">
        <v>86</v>
      </c>
      <c r="AZ88" s="383">
        <v>12</v>
      </c>
      <c r="BA88" s="383">
        <f t="shared" si="114"/>
        <v>12</v>
      </c>
      <c r="BB88" s="383">
        <f t="shared" si="115"/>
        <v>0</v>
      </c>
      <c r="BC88" s="383">
        <f t="shared" si="116"/>
        <v>0</v>
      </c>
      <c r="BD88" s="383">
        <f t="shared" si="117"/>
        <v>0</v>
      </c>
      <c r="BE88" s="383">
        <f t="shared" si="118"/>
        <v>0</v>
      </c>
      <c r="BF88" s="383">
        <f t="shared" si="119"/>
        <v>0</v>
      </c>
      <c r="BG88" s="383">
        <f t="shared" si="120"/>
        <v>0</v>
      </c>
      <c r="BH88" s="383">
        <f t="shared" si="121"/>
        <v>0</v>
      </c>
      <c r="BJ88" s="382" t="s">
        <v>86</v>
      </c>
      <c r="BK88" s="383">
        <v>17</v>
      </c>
      <c r="BL88" s="383">
        <f t="shared" si="122"/>
        <v>17</v>
      </c>
      <c r="BM88" s="383">
        <f t="shared" si="123"/>
        <v>0</v>
      </c>
      <c r="BN88" s="383">
        <f t="shared" si="124"/>
        <v>0</v>
      </c>
      <c r="BO88" s="383">
        <f t="shared" si="125"/>
        <v>0</v>
      </c>
      <c r="BP88" s="383">
        <f t="shared" si="126"/>
        <v>0</v>
      </c>
      <c r="BQ88" s="383">
        <f t="shared" si="127"/>
        <v>0</v>
      </c>
      <c r="BR88" s="383">
        <f t="shared" si="128"/>
        <v>0</v>
      </c>
      <c r="BS88" s="383">
        <f t="shared" si="129"/>
        <v>0</v>
      </c>
    </row>
    <row r="89" spans="1:71" ht="11.25">
      <c r="A89" s="60"/>
      <c r="B89" s="405"/>
      <c r="C89" s="406" t="s">
        <v>85</v>
      </c>
      <c r="D89" s="382" t="s">
        <v>197</v>
      </c>
      <c r="E89" s="383">
        <f>IF(ISERROR(VLOOKUP(C89,'CA Level'!$B$7:$D$86,3,FALSE)),0,VLOOKUP(C89,'CA Level'!$B$7:$D$86,3,FALSE))</f>
        <v>0</v>
      </c>
      <c r="F89" s="383">
        <v>101.61054</v>
      </c>
      <c r="G89" s="397">
        <f t="shared" si="132"/>
        <v>101.61054</v>
      </c>
      <c r="H89" s="398" t="str">
        <f t="shared" si="133"/>
        <v>'NA'</v>
      </c>
      <c r="I89" s="417"/>
      <c r="J89" s="415"/>
      <c r="K89" s="46"/>
      <c r="L89" s="388" t="s">
        <v>19</v>
      </c>
      <c r="M89" s="389">
        <f t="shared" si="131"/>
        <v>0</v>
      </c>
      <c r="N89" s="389">
        <f t="shared" si="131"/>
        <v>0</v>
      </c>
      <c r="O89" s="389">
        <f t="shared" si="131"/>
        <v>0</v>
      </c>
      <c r="P89" s="389">
        <f t="shared" si="131"/>
        <v>1</v>
      </c>
      <c r="Q89" s="389">
        <f t="shared" si="131"/>
        <v>0</v>
      </c>
      <c r="R89" s="389">
        <f t="shared" si="130"/>
        <v>0</v>
      </c>
      <c r="S89" s="389">
        <f t="shared" si="130"/>
        <v>0</v>
      </c>
      <c r="T89" s="389">
        <f t="shared" si="130"/>
        <v>0</v>
      </c>
      <c r="U89" s="39">
        <f t="shared" si="134"/>
        <v>0</v>
      </c>
      <c r="W89" s="383">
        <f t="shared" si="135"/>
        <v>0</v>
      </c>
      <c r="X89" s="383">
        <f t="shared" si="136"/>
        <v>0</v>
      </c>
      <c r="Y89" s="383">
        <f t="shared" si="137"/>
        <v>0</v>
      </c>
      <c r="Z89" s="383">
        <f t="shared" si="138"/>
        <v>0</v>
      </c>
      <c r="AA89" s="383">
        <f t="shared" si="139"/>
        <v>0</v>
      </c>
      <c r="AB89" s="383">
        <f t="shared" si="140"/>
        <v>0</v>
      </c>
      <c r="AC89" s="383">
        <f t="shared" si="141"/>
        <v>0</v>
      </c>
      <c r="AD89" s="383">
        <f t="shared" si="142"/>
        <v>0</v>
      </c>
      <c r="AE89" s="58"/>
      <c r="AF89" s="387">
        <v>0</v>
      </c>
      <c r="AG89" s="387">
        <v>0</v>
      </c>
      <c r="AH89" s="387">
        <v>0.51</v>
      </c>
      <c r="AI89" s="387">
        <v>0.49</v>
      </c>
      <c r="AJ89" s="387">
        <v>0</v>
      </c>
      <c r="AK89" s="387">
        <v>0</v>
      </c>
      <c r="AL89" s="387">
        <v>0</v>
      </c>
      <c r="AM89" s="387">
        <v>0</v>
      </c>
      <c r="AP89" s="383">
        <f aca="true" t="shared" si="143" ref="AP89:AW89">$F89*AF89</f>
        <v>0</v>
      </c>
      <c r="AQ89" s="383">
        <f t="shared" si="143"/>
        <v>0</v>
      </c>
      <c r="AR89" s="383">
        <f t="shared" si="143"/>
        <v>51.8213754</v>
      </c>
      <c r="AS89" s="383">
        <f t="shared" si="143"/>
        <v>49.7891646</v>
      </c>
      <c r="AT89" s="383">
        <f t="shared" si="143"/>
        <v>0</v>
      </c>
      <c r="AU89" s="383">
        <f t="shared" si="143"/>
        <v>0</v>
      </c>
      <c r="AV89" s="383">
        <f t="shared" si="143"/>
        <v>0</v>
      </c>
      <c r="AW89" s="383">
        <f t="shared" si="143"/>
        <v>0</v>
      </c>
      <c r="AX89" s="58"/>
      <c r="AY89" s="383" t="s">
        <v>85</v>
      </c>
      <c r="AZ89" s="383">
        <v>33</v>
      </c>
      <c r="BA89" s="383">
        <f aca="true" t="shared" si="144" ref="BA89:BH89">$AZ89*AF89</f>
        <v>0</v>
      </c>
      <c r="BB89" s="383">
        <f t="shared" si="144"/>
        <v>0</v>
      </c>
      <c r="BC89" s="383">
        <f t="shared" si="144"/>
        <v>16.830000000000002</v>
      </c>
      <c r="BD89" s="383">
        <f t="shared" si="144"/>
        <v>16.169999999999998</v>
      </c>
      <c r="BE89" s="383">
        <f t="shared" si="144"/>
        <v>0</v>
      </c>
      <c r="BF89" s="383">
        <f t="shared" si="144"/>
        <v>0</v>
      </c>
      <c r="BG89" s="383">
        <f t="shared" si="144"/>
        <v>0</v>
      </c>
      <c r="BH89" s="383">
        <f t="shared" si="144"/>
        <v>0</v>
      </c>
      <c r="BJ89" s="382" t="s">
        <v>85</v>
      </c>
      <c r="BK89" s="383">
        <v>33</v>
      </c>
      <c r="BL89" s="383">
        <f aca="true" t="shared" si="145" ref="BL89:BS89">$BK89*AF89</f>
        <v>0</v>
      </c>
      <c r="BM89" s="383">
        <f t="shared" si="145"/>
        <v>0</v>
      </c>
      <c r="BN89" s="383">
        <f t="shared" si="145"/>
        <v>16.830000000000002</v>
      </c>
      <c r="BO89" s="383">
        <f t="shared" si="145"/>
        <v>16.169999999999998</v>
      </c>
      <c r="BP89" s="383">
        <f t="shared" si="145"/>
        <v>0</v>
      </c>
      <c r="BQ89" s="383">
        <f t="shared" si="145"/>
        <v>0</v>
      </c>
      <c r="BR89" s="383">
        <f t="shared" si="145"/>
        <v>0</v>
      </c>
      <c r="BS89" s="383">
        <f t="shared" si="145"/>
        <v>0</v>
      </c>
    </row>
    <row r="90" spans="1:71" ht="11.25">
      <c r="A90" s="60"/>
      <c r="B90" s="405"/>
      <c r="C90" s="406" t="s">
        <v>84</v>
      </c>
      <c r="D90" s="382" t="s">
        <v>173</v>
      </c>
      <c r="E90" s="383">
        <f>IF(ISERROR(VLOOKUP(C90,'CA Level'!$B$7:$D$86,3,FALSE)),0,VLOOKUP(C90,'CA Level'!$B$7:$D$86,3,FALSE))</f>
        <v>781.8399999999999</v>
      </c>
      <c r="F90" s="383">
        <v>2051.905</v>
      </c>
      <c r="G90" s="397">
        <f t="shared" si="132"/>
        <v>1270.0650000000003</v>
      </c>
      <c r="H90" s="398">
        <f t="shared" si="133"/>
        <v>1.6244564105187767</v>
      </c>
      <c r="I90" s="417"/>
      <c r="J90" s="415"/>
      <c r="K90" s="46"/>
      <c r="L90" s="386"/>
      <c r="M90" s="387">
        <v>0.3</v>
      </c>
      <c r="N90" s="387">
        <v>0.2</v>
      </c>
      <c r="O90" s="387">
        <v>0.25</v>
      </c>
      <c r="P90" s="387">
        <v>0.25</v>
      </c>
      <c r="Q90" s="387">
        <v>0</v>
      </c>
      <c r="R90" s="387">
        <f t="shared" si="130"/>
        <v>0</v>
      </c>
      <c r="S90" s="387">
        <f t="shared" si="130"/>
        <v>0</v>
      </c>
      <c r="T90" s="387">
        <f t="shared" si="130"/>
        <v>0</v>
      </c>
      <c r="U90" s="39">
        <f t="shared" si="134"/>
        <v>0</v>
      </c>
      <c r="W90" s="383">
        <f t="shared" si="135"/>
        <v>234.55199999999996</v>
      </c>
      <c r="X90" s="383">
        <f t="shared" si="136"/>
        <v>156.368</v>
      </c>
      <c r="Y90" s="383">
        <f t="shared" si="137"/>
        <v>195.45999999999998</v>
      </c>
      <c r="Z90" s="383">
        <f t="shared" si="138"/>
        <v>195.45999999999998</v>
      </c>
      <c r="AA90" s="383">
        <f t="shared" si="139"/>
        <v>0</v>
      </c>
      <c r="AB90" s="383">
        <f t="shared" si="140"/>
        <v>0</v>
      </c>
      <c r="AC90" s="383">
        <f t="shared" si="141"/>
        <v>0</v>
      </c>
      <c r="AD90" s="383">
        <f t="shared" si="142"/>
        <v>0</v>
      </c>
      <c r="AE90" s="58"/>
      <c r="AF90" s="383"/>
      <c r="AG90" s="383"/>
      <c r="AH90" s="383"/>
      <c r="AI90" s="383"/>
      <c r="AJ90" s="383"/>
      <c r="AK90" s="383"/>
      <c r="AL90" s="383"/>
      <c r="AM90" s="383"/>
      <c r="AP90" s="383">
        <f aca="true" t="shared" si="146" ref="AP90:AP113">$F90*M90</f>
        <v>615.5715</v>
      </c>
      <c r="AQ90" s="383">
        <f aca="true" t="shared" si="147" ref="AQ90:AQ113">$F90*N90</f>
        <v>410.3810000000001</v>
      </c>
      <c r="AR90" s="383">
        <f aca="true" t="shared" si="148" ref="AR90:AR113">$F90*O90</f>
        <v>512.97625</v>
      </c>
      <c r="AS90" s="383">
        <f aca="true" t="shared" si="149" ref="AS90:AS113">$F90*P90</f>
        <v>512.97625</v>
      </c>
      <c r="AT90" s="383">
        <f aca="true" t="shared" si="150" ref="AT90:AT113">$F90*Q90</f>
        <v>0</v>
      </c>
      <c r="AU90" s="383">
        <f aca="true" t="shared" si="151" ref="AU90:AU113">$F90*R90</f>
        <v>0</v>
      </c>
      <c r="AV90" s="383">
        <f aca="true" t="shared" si="152" ref="AV90:AV113">$F90*S90</f>
        <v>0</v>
      </c>
      <c r="AW90" s="383">
        <f aca="true" t="shared" si="153" ref="AW90:AW113">$F90*T90</f>
        <v>0</v>
      </c>
      <c r="AX90" s="58"/>
      <c r="AY90" s="383" t="s">
        <v>84</v>
      </c>
      <c r="AZ90" s="383">
        <v>1487</v>
      </c>
      <c r="BA90" s="383">
        <f aca="true" t="shared" si="154" ref="BA90:BA113">$AZ90*M90</f>
        <v>446.09999999999997</v>
      </c>
      <c r="BB90" s="383">
        <f aca="true" t="shared" si="155" ref="BB90:BB113">$AZ90*N90</f>
        <v>297.40000000000003</v>
      </c>
      <c r="BC90" s="383">
        <f aca="true" t="shared" si="156" ref="BC90:BC113">$AZ90*O90</f>
        <v>371.75</v>
      </c>
      <c r="BD90" s="383">
        <f aca="true" t="shared" si="157" ref="BD90:BD113">$AZ90*P90</f>
        <v>371.75</v>
      </c>
      <c r="BE90" s="383">
        <f aca="true" t="shared" si="158" ref="BE90:BE113">$AZ90*Q90</f>
        <v>0</v>
      </c>
      <c r="BF90" s="383">
        <f aca="true" t="shared" si="159" ref="BF90:BF113">$AZ90*R90</f>
        <v>0</v>
      </c>
      <c r="BG90" s="383">
        <f aca="true" t="shared" si="160" ref="BG90:BG113">$AZ90*S90</f>
        <v>0</v>
      </c>
      <c r="BH90" s="383">
        <f aca="true" t="shared" si="161" ref="BH90:BH113">$AZ90*T90</f>
        <v>0</v>
      </c>
      <c r="BJ90" s="382" t="s">
        <v>84</v>
      </c>
      <c r="BK90" s="383">
        <v>2017</v>
      </c>
      <c r="BL90" s="383">
        <f aca="true" t="shared" si="162" ref="BL90:BL113">$BK90*M90</f>
        <v>605.1</v>
      </c>
      <c r="BM90" s="383">
        <f aca="true" t="shared" si="163" ref="BM90:BM113">$BK90*N90</f>
        <v>403.40000000000003</v>
      </c>
      <c r="BN90" s="383">
        <f aca="true" t="shared" si="164" ref="BN90:BN113">$BK90*O90</f>
        <v>504.25</v>
      </c>
      <c r="BO90" s="383">
        <f aca="true" t="shared" si="165" ref="BO90:BO113">$BK90*P90</f>
        <v>504.25</v>
      </c>
      <c r="BP90" s="383">
        <f aca="true" t="shared" si="166" ref="BP90:BP113">$BK90*Q90</f>
        <v>0</v>
      </c>
      <c r="BQ90" s="383">
        <f aca="true" t="shared" si="167" ref="BQ90:BQ113">$BK90*R90</f>
        <v>0</v>
      </c>
      <c r="BR90" s="383">
        <f aca="true" t="shared" si="168" ref="BR90:BR113">$BK90*S90</f>
        <v>0</v>
      </c>
      <c r="BS90" s="383">
        <f aca="true" t="shared" si="169" ref="BS90:BS113">$BK90*T90</f>
        <v>0</v>
      </c>
    </row>
    <row r="91" spans="1:71" ht="11.25">
      <c r="A91" s="60"/>
      <c r="B91" s="405"/>
      <c r="C91" s="406" t="s">
        <v>83</v>
      </c>
      <c r="D91" s="382" t="s">
        <v>196</v>
      </c>
      <c r="E91" s="383">
        <f>IF(ISERROR(VLOOKUP(C91,'CA Level'!$B$7:$D$86,3,FALSE)),0,VLOOKUP(C91,'CA Level'!$B$7:$D$86,3,FALSE))</f>
        <v>0</v>
      </c>
      <c r="F91" s="383">
        <v>683.1756899999999</v>
      </c>
      <c r="G91" s="397">
        <f t="shared" si="132"/>
        <v>683.1756899999999</v>
      </c>
      <c r="H91" s="398" t="str">
        <f t="shared" si="133"/>
        <v>'NA'</v>
      </c>
      <c r="I91" s="417"/>
      <c r="J91" s="415"/>
      <c r="K91" s="46"/>
      <c r="L91" s="388" t="s">
        <v>6</v>
      </c>
      <c r="M91" s="389">
        <f aca="true" t="shared" si="170" ref="M91:Q92">IF($L91=M$22,1,0)</f>
        <v>1</v>
      </c>
      <c r="N91" s="389">
        <f t="shared" si="170"/>
        <v>0</v>
      </c>
      <c r="O91" s="389">
        <f t="shared" si="170"/>
        <v>0</v>
      </c>
      <c r="P91" s="389">
        <f t="shared" si="170"/>
        <v>0</v>
      </c>
      <c r="Q91" s="389">
        <f t="shared" si="170"/>
        <v>0</v>
      </c>
      <c r="R91" s="389">
        <f t="shared" si="130"/>
        <v>0</v>
      </c>
      <c r="S91" s="389">
        <f t="shared" si="130"/>
        <v>0</v>
      </c>
      <c r="T91" s="389">
        <f t="shared" si="130"/>
        <v>0</v>
      </c>
      <c r="U91" s="39">
        <f t="shared" si="134"/>
        <v>0</v>
      </c>
      <c r="W91" s="383">
        <f t="shared" si="135"/>
        <v>0</v>
      </c>
      <c r="X91" s="383">
        <f t="shared" si="136"/>
        <v>0</v>
      </c>
      <c r="Y91" s="383">
        <f t="shared" si="137"/>
        <v>0</v>
      </c>
      <c r="Z91" s="383">
        <f t="shared" si="138"/>
        <v>0</v>
      </c>
      <c r="AA91" s="383">
        <f t="shared" si="139"/>
        <v>0</v>
      </c>
      <c r="AB91" s="383">
        <f t="shared" si="140"/>
        <v>0</v>
      </c>
      <c r="AC91" s="383">
        <f t="shared" si="141"/>
        <v>0</v>
      </c>
      <c r="AD91" s="383">
        <f t="shared" si="142"/>
        <v>0</v>
      </c>
      <c r="AE91" s="58"/>
      <c r="AF91" s="383"/>
      <c r="AG91" s="383"/>
      <c r="AH91" s="383"/>
      <c r="AI91" s="383"/>
      <c r="AJ91" s="383"/>
      <c r="AK91" s="383"/>
      <c r="AL91" s="383"/>
      <c r="AM91" s="383"/>
      <c r="AP91" s="383">
        <f t="shared" si="146"/>
        <v>683.1756899999999</v>
      </c>
      <c r="AQ91" s="383">
        <f t="shared" si="147"/>
        <v>0</v>
      </c>
      <c r="AR91" s="383">
        <f t="shared" si="148"/>
        <v>0</v>
      </c>
      <c r="AS91" s="383">
        <f t="shared" si="149"/>
        <v>0</v>
      </c>
      <c r="AT91" s="383">
        <f t="shared" si="150"/>
        <v>0</v>
      </c>
      <c r="AU91" s="383">
        <f t="shared" si="151"/>
        <v>0</v>
      </c>
      <c r="AV91" s="383">
        <f t="shared" si="152"/>
        <v>0</v>
      </c>
      <c r="AW91" s="383">
        <f t="shared" si="153"/>
        <v>0</v>
      </c>
      <c r="AX91" s="58"/>
      <c r="AY91" s="383"/>
      <c r="AZ91" s="383"/>
      <c r="BA91" s="383">
        <f t="shared" si="154"/>
        <v>0</v>
      </c>
      <c r="BB91" s="383">
        <f t="shared" si="155"/>
        <v>0</v>
      </c>
      <c r="BC91" s="383">
        <f t="shared" si="156"/>
        <v>0</v>
      </c>
      <c r="BD91" s="383">
        <f t="shared" si="157"/>
        <v>0</v>
      </c>
      <c r="BE91" s="383">
        <f t="shared" si="158"/>
        <v>0</v>
      </c>
      <c r="BF91" s="383">
        <f t="shared" si="159"/>
        <v>0</v>
      </c>
      <c r="BG91" s="383">
        <f t="shared" si="160"/>
        <v>0</v>
      </c>
      <c r="BH91" s="383">
        <f t="shared" si="161"/>
        <v>0</v>
      </c>
      <c r="BJ91" s="382" t="s">
        <v>83</v>
      </c>
      <c r="BK91" s="383">
        <v>425</v>
      </c>
      <c r="BL91" s="383">
        <f t="shared" si="162"/>
        <v>425</v>
      </c>
      <c r="BM91" s="383">
        <f t="shared" si="163"/>
        <v>0</v>
      </c>
      <c r="BN91" s="383">
        <f t="shared" si="164"/>
        <v>0</v>
      </c>
      <c r="BO91" s="383">
        <f t="shared" si="165"/>
        <v>0</v>
      </c>
      <c r="BP91" s="383">
        <f t="shared" si="166"/>
        <v>0</v>
      </c>
      <c r="BQ91" s="383">
        <f t="shared" si="167"/>
        <v>0</v>
      </c>
      <c r="BR91" s="383">
        <f t="shared" si="168"/>
        <v>0</v>
      </c>
      <c r="BS91" s="383">
        <f t="shared" si="169"/>
        <v>0</v>
      </c>
    </row>
    <row r="92" spans="1:71" ht="11.25">
      <c r="A92" s="60"/>
      <c r="B92" s="405"/>
      <c r="C92" s="406" t="s">
        <v>195</v>
      </c>
      <c r="D92" s="382" t="s">
        <v>194</v>
      </c>
      <c r="E92" s="383">
        <f>IF(ISERROR(VLOOKUP(C92,'CA Level'!$B$7:$D$86,3,FALSE)),0,VLOOKUP(C92,'CA Level'!$B$7:$D$86,3,FALSE))</f>
        <v>0</v>
      </c>
      <c r="F92" s="383">
        <v>0</v>
      </c>
      <c r="G92" s="397">
        <f t="shared" si="132"/>
        <v>0</v>
      </c>
      <c r="H92" s="398" t="str">
        <f t="shared" si="133"/>
        <v>'NA'</v>
      </c>
      <c r="I92" s="417"/>
      <c r="J92" s="415"/>
      <c r="K92" s="46"/>
      <c r="L92" s="388" t="s">
        <v>6</v>
      </c>
      <c r="M92" s="389">
        <f t="shared" si="170"/>
        <v>1</v>
      </c>
      <c r="N92" s="389">
        <f t="shared" si="170"/>
        <v>0</v>
      </c>
      <c r="O92" s="389">
        <f t="shared" si="170"/>
        <v>0</v>
      </c>
      <c r="P92" s="389">
        <f t="shared" si="170"/>
        <v>0</v>
      </c>
      <c r="Q92" s="389">
        <f t="shared" si="170"/>
        <v>0</v>
      </c>
      <c r="R92" s="389">
        <f t="shared" si="130"/>
        <v>0</v>
      </c>
      <c r="S92" s="389">
        <f t="shared" si="130"/>
        <v>0</v>
      </c>
      <c r="T92" s="389">
        <f t="shared" si="130"/>
        <v>0</v>
      </c>
      <c r="U92" s="39">
        <f t="shared" si="134"/>
        <v>0</v>
      </c>
      <c r="W92" s="383">
        <f t="shared" si="135"/>
        <v>0</v>
      </c>
      <c r="X92" s="383">
        <f t="shared" si="136"/>
        <v>0</v>
      </c>
      <c r="Y92" s="383">
        <f t="shared" si="137"/>
        <v>0</v>
      </c>
      <c r="Z92" s="383">
        <f t="shared" si="138"/>
        <v>0</v>
      </c>
      <c r="AA92" s="383">
        <f t="shared" si="139"/>
        <v>0</v>
      </c>
      <c r="AB92" s="383">
        <f t="shared" si="140"/>
        <v>0</v>
      </c>
      <c r="AC92" s="383">
        <f t="shared" si="141"/>
        <v>0</v>
      </c>
      <c r="AD92" s="383">
        <f t="shared" si="142"/>
        <v>0</v>
      </c>
      <c r="AE92" s="58"/>
      <c r="AF92" s="383"/>
      <c r="AG92" s="383"/>
      <c r="AH92" s="383"/>
      <c r="AI92" s="383"/>
      <c r="AJ92" s="383"/>
      <c r="AK92" s="383"/>
      <c r="AL92" s="383"/>
      <c r="AM92" s="383"/>
      <c r="AP92" s="383">
        <f t="shared" si="146"/>
        <v>0</v>
      </c>
      <c r="AQ92" s="383">
        <f t="shared" si="147"/>
        <v>0</v>
      </c>
      <c r="AR92" s="383">
        <f t="shared" si="148"/>
        <v>0</v>
      </c>
      <c r="AS92" s="383">
        <f t="shared" si="149"/>
        <v>0</v>
      </c>
      <c r="AT92" s="383">
        <f t="shared" si="150"/>
        <v>0</v>
      </c>
      <c r="AU92" s="383">
        <f t="shared" si="151"/>
        <v>0</v>
      </c>
      <c r="AV92" s="383">
        <f t="shared" si="152"/>
        <v>0</v>
      </c>
      <c r="AW92" s="383">
        <f t="shared" si="153"/>
        <v>0</v>
      </c>
      <c r="AX92" s="58"/>
      <c r="AY92" s="383"/>
      <c r="AZ92" s="383"/>
      <c r="BA92" s="383">
        <f t="shared" si="154"/>
        <v>0</v>
      </c>
      <c r="BB92" s="383">
        <f t="shared" si="155"/>
        <v>0</v>
      </c>
      <c r="BC92" s="383">
        <f t="shared" si="156"/>
        <v>0</v>
      </c>
      <c r="BD92" s="383">
        <f t="shared" si="157"/>
        <v>0</v>
      </c>
      <c r="BE92" s="383">
        <f t="shared" si="158"/>
        <v>0</v>
      </c>
      <c r="BF92" s="383">
        <f t="shared" si="159"/>
        <v>0</v>
      </c>
      <c r="BG92" s="383">
        <f t="shared" si="160"/>
        <v>0</v>
      </c>
      <c r="BH92" s="383">
        <f t="shared" si="161"/>
        <v>0</v>
      </c>
      <c r="BJ92" s="382"/>
      <c r="BK92" s="383"/>
      <c r="BL92" s="383">
        <f t="shared" si="162"/>
        <v>0</v>
      </c>
      <c r="BM92" s="383">
        <f t="shared" si="163"/>
        <v>0</v>
      </c>
      <c r="BN92" s="383">
        <f t="shared" si="164"/>
        <v>0</v>
      </c>
      <c r="BO92" s="383">
        <f t="shared" si="165"/>
        <v>0</v>
      </c>
      <c r="BP92" s="383">
        <f t="shared" si="166"/>
        <v>0</v>
      </c>
      <c r="BQ92" s="383">
        <f t="shared" si="167"/>
        <v>0</v>
      </c>
      <c r="BR92" s="383">
        <f t="shared" si="168"/>
        <v>0</v>
      </c>
      <c r="BS92" s="383">
        <f t="shared" si="169"/>
        <v>0</v>
      </c>
    </row>
    <row r="93" spans="1:71" ht="11.25">
      <c r="A93" s="60"/>
      <c r="B93" s="405"/>
      <c r="C93" s="406" t="s">
        <v>193</v>
      </c>
      <c r="D93" s="382" t="s">
        <v>175</v>
      </c>
      <c r="E93" s="383">
        <f>IF(ISERROR(VLOOKUP(C93,'CA Level'!$B$7:$D$86,3,FALSE)),0,VLOOKUP(C93,'CA Level'!$B$7:$D$86,3,FALSE))</f>
        <v>0</v>
      </c>
      <c r="F93" s="383">
        <v>2666.3881800000004</v>
      </c>
      <c r="G93" s="397">
        <f t="shared" si="132"/>
        <v>2666.3881800000004</v>
      </c>
      <c r="H93" s="398" t="str">
        <f t="shared" si="133"/>
        <v>'NA'</v>
      </c>
      <c r="I93" s="417"/>
      <c r="J93" s="415"/>
      <c r="K93" s="46"/>
      <c r="L93" s="386"/>
      <c r="M93" s="387">
        <v>0.15</v>
      </c>
      <c r="N93" s="387">
        <v>0</v>
      </c>
      <c r="O93" s="387">
        <v>0.15</v>
      </c>
      <c r="P93" s="387">
        <v>0.7</v>
      </c>
      <c r="Q93" s="387">
        <f>IF($L93=Q$22,1,0)</f>
        <v>0</v>
      </c>
      <c r="R93" s="387">
        <f t="shared" si="130"/>
        <v>0</v>
      </c>
      <c r="S93" s="387">
        <f t="shared" si="130"/>
        <v>0</v>
      </c>
      <c r="T93" s="387">
        <f t="shared" si="130"/>
        <v>0</v>
      </c>
      <c r="U93" s="39">
        <f t="shared" si="134"/>
        <v>0</v>
      </c>
      <c r="W93" s="383">
        <f t="shared" si="135"/>
        <v>0</v>
      </c>
      <c r="X93" s="383">
        <f t="shared" si="136"/>
        <v>0</v>
      </c>
      <c r="Y93" s="383">
        <f t="shared" si="137"/>
        <v>0</v>
      </c>
      <c r="Z93" s="383">
        <f t="shared" si="138"/>
        <v>0</v>
      </c>
      <c r="AA93" s="383">
        <f t="shared" si="139"/>
        <v>0</v>
      </c>
      <c r="AB93" s="383">
        <f t="shared" si="140"/>
        <v>0</v>
      </c>
      <c r="AC93" s="383">
        <f t="shared" si="141"/>
        <v>0</v>
      </c>
      <c r="AD93" s="383">
        <f t="shared" si="142"/>
        <v>0</v>
      </c>
      <c r="AE93" s="58"/>
      <c r="AF93" s="383"/>
      <c r="AG93" s="383"/>
      <c r="AH93" s="383"/>
      <c r="AI93" s="383"/>
      <c r="AJ93" s="383"/>
      <c r="AK93" s="383"/>
      <c r="AL93" s="383"/>
      <c r="AM93" s="383"/>
      <c r="AP93" s="383">
        <f t="shared" si="146"/>
        <v>399.958227</v>
      </c>
      <c r="AQ93" s="383">
        <f t="shared" si="147"/>
        <v>0</v>
      </c>
      <c r="AR93" s="383">
        <f t="shared" si="148"/>
        <v>399.958227</v>
      </c>
      <c r="AS93" s="383">
        <f t="shared" si="149"/>
        <v>1866.4717260000002</v>
      </c>
      <c r="AT93" s="383">
        <f t="shared" si="150"/>
        <v>0</v>
      </c>
      <c r="AU93" s="383">
        <f t="shared" si="151"/>
        <v>0</v>
      </c>
      <c r="AV93" s="383">
        <f t="shared" si="152"/>
        <v>0</v>
      </c>
      <c r="AW93" s="383">
        <f t="shared" si="153"/>
        <v>0</v>
      </c>
      <c r="AX93" s="58"/>
      <c r="AY93" s="383"/>
      <c r="AZ93" s="383"/>
      <c r="BA93" s="383">
        <f t="shared" si="154"/>
        <v>0</v>
      </c>
      <c r="BB93" s="383">
        <f t="shared" si="155"/>
        <v>0</v>
      </c>
      <c r="BC93" s="383">
        <f t="shared" si="156"/>
        <v>0</v>
      </c>
      <c r="BD93" s="383">
        <f t="shared" si="157"/>
        <v>0</v>
      </c>
      <c r="BE93" s="383">
        <f t="shared" si="158"/>
        <v>0</v>
      </c>
      <c r="BF93" s="383">
        <f t="shared" si="159"/>
        <v>0</v>
      </c>
      <c r="BG93" s="383">
        <f t="shared" si="160"/>
        <v>0</v>
      </c>
      <c r="BH93" s="383">
        <f t="shared" si="161"/>
        <v>0</v>
      </c>
      <c r="BJ93" s="382"/>
      <c r="BK93" s="383"/>
      <c r="BL93" s="383">
        <f t="shared" si="162"/>
        <v>0</v>
      </c>
      <c r="BM93" s="383">
        <f t="shared" si="163"/>
        <v>0</v>
      </c>
      <c r="BN93" s="383">
        <f t="shared" si="164"/>
        <v>0</v>
      </c>
      <c r="BO93" s="383">
        <f t="shared" si="165"/>
        <v>0</v>
      </c>
      <c r="BP93" s="383">
        <f t="shared" si="166"/>
        <v>0</v>
      </c>
      <c r="BQ93" s="383">
        <f t="shared" si="167"/>
        <v>0</v>
      </c>
      <c r="BR93" s="383">
        <f t="shared" si="168"/>
        <v>0</v>
      </c>
      <c r="BS93" s="383">
        <f t="shared" si="169"/>
        <v>0</v>
      </c>
    </row>
    <row r="94" spans="1:71" ht="11.25">
      <c r="A94" s="60"/>
      <c r="B94" s="405"/>
      <c r="C94" s="406" t="s">
        <v>82</v>
      </c>
      <c r="D94" s="382" t="s">
        <v>166</v>
      </c>
      <c r="E94" s="383">
        <f>IF(ISERROR(VLOOKUP(C94,'CA Level'!$B$7:$D$86,3,FALSE)),0,VLOOKUP(C94,'CA Level'!$B$7:$D$86,3,FALSE))</f>
        <v>898.3422</v>
      </c>
      <c r="F94" s="383">
        <v>10</v>
      </c>
      <c r="G94" s="397">
        <f t="shared" si="132"/>
        <v>-888.3422</v>
      </c>
      <c r="H94" s="398">
        <f t="shared" si="133"/>
        <v>-0.9888683844530514</v>
      </c>
      <c r="I94" s="417"/>
      <c r="J94" s="415"/>
      <c r="K94" s="46"/>
      <c r="L94" s="386"/>
      <c r="M94" s="387">
        <v>0.3</v>
      </c>
      <c r="N94" s="387">
        <v>0.2</v>
      </c>
      <c r="O94" s="387">
        <v>0.25</v>
      </c>
      <c r="P94" s="387">
        <v>0.25</v>
      </c>
      <c r="Q94" s="387">
        <v>0</v>
      </c>
      <c r="R94" s="387">
        <f t="shared" si="130"/>
        <v>0</v>
      </c>
      <c r="S94" s="387">
        <f t="shared" si="130"/>
        <v>0</v>
      </c>
      <c r="T94" s="387">
        <f t="shared" si="130"/>
        <v>0</v>
      </c>
      <c r="U94" s="39">
        <f t="shared" si="134"/>
        <v>0</v>
      </c>
      <c r="W94" s="383">
        <f t="shared" si="135"/>
        <v>269.50266</v>
      </c>
      <c r="X94" s="383">
        <f t="shared" si="136"/>
        <v>179.66844000000003</v>
      </c>
      <c r="Y94" s="383">
        <f t="shared" si="137"/>
        <v>224.58555</v>
      </c>
      <c r="Z94" s="383">
        <f t="shared" si="138"/>
        <v>224.58555</v>
      </c>
      <c r="AA94" s="383">
        <f t="shared" si="139"/>
        <v>0</v>
      </c>
      <c r="AB94" s="383">
        <f t="shared" si="140"/>
        <v>0</v>
      </c>
      <c r="AC94" s="383">
        <f t="shared" si="141"/>
        <v>0</v>
      </c>
      <c r="AD94" s="383">
        <f t="shared" si="142"/>
        <v>0</v>
      </c>
      <c r="AE94" s="58"/>
      <c r="AF94" s="383"/>
      <c r="AG94" s="383"/>
      <c r="AH94" s="383"/>
      <c r="AI94" s="383"/>
      <c r="AJ94" s="383"/>
      <c r="AK94" s="383"/>
      <c r="AL94" s="383"/>
      <c r="AM94" s="383"/>
      <c r="AP94" s="383">
        <f t="shared" si="146"/>
        <v>3</v>
      </c>
      <c r="AQ94" s="383">
        <f t="shared" si="147"/>
        <v>2</v>
      </c>
      <c r="AR94" s="383">
        <f t="shared" si="148"/>
        <v>2.5</v>
      </c>
      <c r="AS94" s="383">
        <f t="shared" si="149"/>
        <v>2.5</v>
      </c>
      <c r="AT94" s="383">
        <f t="shared" si="150"/>
        <v>0</v>
      </c>
      <c r="AU94" s="383">
        <f t="shared" si="151"/>
        <v>0</v>
      </c>
      <c r="AV94" s="383">
        <f t="shared" si="152"/>
        <v>0</v>
      </c>
      <c r="AW94" s="383">
        <f t="shared" si="153"/>
        <v>0</v>
      </c>
      <c r="AX94" s="58"/>
      <c r="AY94" s="383" t="s">
        <v>82</v>
      </c>
      <c r="AZ94" s="383">
        <v>1891.62</v>
      </c>
      <c r="BA94" s="383">
        <f t="shared" si="154"/>
        <v>567.486</v>
      </c>
      <c r="BB94" s="383">
        <f t="shared" si="155"/>
        <v>378.324</v>
      </c>
      <c r="BC94" s="383">
        <f t="shared" si="156"/>
        <v>472.905</v>
      </c>
      <c r="BD94" s="383">
        <f t="shared" si="157"/>
        <v>472.905</v>
      </c>
      <c r="BE94" s="383">
        <f t="shared" si="158"/>
        <v>0</v>
      </c>
      <c r="BF94" s="383">
        <f t="shared" si="159"/>
        <v>0</v>
      </c>
      <c r="BG94" s="383">
        <f t="shared" si="160"/>
        <v>0</v>
      </c>
      <c r="BH94" s="383">
        <f t="shared" si="161"/>
        <v>0</v>
      </c>
      <c r="BJ94" s="382" t="s">
        <v>82</v>
      </c>
      <c r="BK94" s="383">
        <v>1258</v>
      </c>
      <c r="BL94" s="383">
        <f t="shared" si="162"/>
        <v>377.4</v>
      </c>
      <c r="BM94" s="383">
        <f t="shared" si="163"/>
        <v>251.60000000000002</v>
      </c>
      <c r="BN94" s="383">
        <f t="shared" si="164"/>
        <v>314.5</v>
      </c>
      <c r="BO94" s="383">
        <f t="shared" si="165"/>
        <v>314.5</v>
      </c>
      <c r="BP94" s="383">
        <f t="shared" si="166"/>
        <v>0</v>
      </c>
      <c r="BQ94" s="383">
        <f t="shared" si="167"/>
        <v>0</v>
      </c>
      <c r="BR94" s="383">
        <f t="shared" si="168"/>
        <v>0</v>
      </c>
      <c r="BS94" s="383">
        <f t="shared" si="169"/>
        <v>0</v>
      </c>
    </row>
    <row r="95" spans="1:71" ht="11.25">
      <c r="A95" s="60" t="e">
        <f>#REF!</f>
        <v>#REF!</v>
      </c>
      <c r="B95" s="30" t="s">
        <v>192</v>
      </c>
      <c r="C95" s="406" t="s">
        <v>81</v>
      </c>
      <c r="D95" s="382" t="s">
        <v>191</v>
      </c>
      <c r="E95" s="383">
        <f>IF(ISERROR(VLOOKUP(C95,'CA Level'!$B$92:$D$108,3,FALSE)),0,VLOOKUP(C95,'CA Level'!$B$92:$D$108,3,FALSE))</f>
        <v>3411.6999979351162</v>
      </c>
      <c r="F95" s="383">
        <v>3761.7274700000003</v>
      </c>
      <c r="G95" s="397">
        <f t="shared" si="132"/>
        <v>350.027472064884</v>
      </c>
      <c r="H95" s="398">
        <f t="shared" si="133"/>
        <v>0.10259620490568727</v>
      </c>
      <c r="I95" s="417"/>
      <c r="J95" s="415"/>
      <c r="K95" s="46"/>
      <c r="L95" s="388" t="s">
        <v>28</v>
      </c>
      <c r="M95" s="389">
        <f aca="true" t="shared" si="171" ref="M95:Q104">IF($L95=M$22,1,0)</f>
        <v>0</v>
      </c>
      <c r="N95" s="389">
        <f t="shared" si="171"/>
        <v>0</v>
      </c>
      <c r="O95" s="389">
        <f t="shared" si="171"/>
        <v>0</v>
      </c>
      <c r="P95" s="389">
        <f t="shared" si="171"/>
        <v>0</v>
      </c>
      <c r="Q95" s="389">
        <f t="shared" si="171"/>
        <v>0</v>
      </c>
      <c r="R95" s="389">
        <f t="shared" si="130"/>
        <v>1</v>
      </c>
      <c r="S95" s="389">
        <f t="shared" si="130"/>
        <v>0</v>
      </c>
      <c r="T95" s="389">
        <f t="shared" si="130"/>
        <v>0</v>
      </c>
      <c r="U95" s="39">
        <f t="shared" si="134"/>
        <v>0</v>
      </c>
      <c r="W95" s="383">
        <f t="shared" si="135"/>
        <v>0</v>
      </c>
      <c r="X95" s="383">
        <f t="shared" si="136"/>
        <v>0</v>
      </c>
      <c r="Y95" s="383">
        <f t="shared" si="137"/>
        <v>0</v>
      </c>
      <c r="Z95" s="383">
        <f t="shared" si="138"/>
        <v>0</v>
      </c>
      <c r="AA95" s="383">
        <f t="shared" si="139"/>
        <v>0</v>
      </c>
      <c r="AB95" s="383">
        <f t="shared" si="140"/>
        <v>3411.6999979351162</v>
      </c>
      <c r="AC95" s="383">
        <f t="shared" si="141"/>
        <v>0</v>
      </c>
      <c r="AD95" s="383">
        <f t="shared" si="142"/>
        <v>0</v>
      </c>
      <c r="AE95" s="58"/>
      <c r="AF95" s="383"/>
      <c r="AG95" s="383"/>
      <c r="AH95" s="383"/>
      <c r="AI95" s="383"/>
      <c r="AJ95" s="383"/>
      <c r="AK95" s="383"/>
      <c r="AL95" s="383"/>
      <c r="AM95" s="383"/>
      <c r="AP95" s="383">
        <f t="shared" si="146"/>
        <v>0</v>
      </c>
      <c r="AQ95" s="383">
        <f t="shared" si="147"/>
        <v>0</v>
      </c>
      <c r="AR95" s="383">
        <f t="shared" si="148"/>
        <v>0</v>
      </c>
      <c r="AS95" s="383">
        <f t="shared" si="149"/>
        <v>0</v>
      </c>
      <c r="AT95" s="383">
        <f t="shared" si="150"/>
        <v>0</v>
      </c>
      <c r="AU95" s="383">
        <f t="shared" si="151"/>
        <v>3761.7274700000003</v>
      </c>
      <c r="AV95" s="383">
        <f t="shared" si="152"/>
        <v>0</v>
      </c>
      <c r="AW95" s="383">
        <f t="shared" si="153"/>
        <v>0</v>
      </c>
      <c r="AX95" s="58"/>
      <c r="AY95" s="383" t="s">
        <v>81</v>
      </c>
      <c r="AZ95" s="383">
        <v>132.375</v>
      </c>
      <c r="BA95" s="383">
        <f t="shared" si="154"/>
        <v>0</v>
      </c>
      <c r="BB95" s="383">
        <f t="shared" si="155"/>
        <v>0</v>
      </c>
      <c r="BC95" s="383">
        <f t="shared" si="156"/>
        <v>0</v>
      </c>
      <c r="BD95" s="383">
        <f t="shared" si="157"/>
        <v>0</v>
      </c>
      <c r="BE95" s="383">
        <f t="shared" si="158"/>
        <v>0</v>
      </c>
      <c r="BF95" s="383">
        <f t="shared" si="159"/>
        <v>132.375</v>
      </c>
      <c r="BG95" s="383">
        <f t="shared" si="160"/>
        <v>0</v>
      </c>
      <c r="BH95" s="383">
        <f t="shared" si="161"/>
        <v>0</v>
      </c>
      <c r="BJ95" s="382" t="s">
        <v>81</v>
      </c>
      <c r="BK95" s="383">
        <v>3720.4</v>
      </c>
      <c r="BL95" s="383">
        <f t="shared" si="162"/>
        <v>0</v>
      </c>
      <c r="BM95" s="383">
        <f t="shared" si="163"/>
        <v>0</v>
      </c>
      <c r="BN95" s="383">
        <f t="shared" si="164"/>
        <v>0</v>
      </c>
      <c r="BO95" s="383">
        <f t="shared" si="165"/>
        <v>0</v>
      </c>
      <c r="BP95" s="383">
        <f t="shared" si="166"/>
        <v>0</v>
      </c>
      <c r="BQ95" s="383">
        <f t="shared" si="167"/>
        <v>3720.4</v>
      </c>
      <c r="BR95" s="383">
        <f t="shared" si="168"/>
        <v>0</v>
      </c>
      <c r="BS95" s="383">
        <f t="shared" si="169"/>
        <v>0</v>
      </c>
    </row>
    <row r="96" spans="1:71" ht="11.25">
      <c r="A96" s="60"/>
      <c r="B96" s="405"/>
      <c r="C96" s="406" t="s">
        <v>80</v>
      </c>
      <c r="D96" s="382" t="s">
        <v>190</v>
      </c>
      <c r="E96" s="383">
        <f>IF(ISERROR(VLOOKUP(C96,'CA Level'!$B$92:$D$108,3,FALSE)),0,VLOOKUP(C96,'CA Level'!$B$92:$D$108,3,FALSE))</f>
        <v>8331.172583926602</v>
      </c>
      <c r="F96" s="383">
        <v>9396</v>
      </c>
      <c r="G96" s="397">
        <f t="shared" si="132"/>
        <v>1064.8274160733981</v>
      </c>
      <c r="H96" s="398">
        <f t="shared" si="133"/>
        <v>0.12781243040478818</v>
      </c>
      <c r="I96" s="417"/>
      <c r="J96" s="415"/>
      <c r="K96" s="46"/>
      <c r="L96" s="388" t="s">
        <v>28</v>
      </c>
      <c r="M96" s="389">
        <f t="shared" si="171"/>
        <v>0</v>
      </c>
      <c r="N96" s="389">
        <f t="shared" si="171"/>
        <v>0</v>
      </c>
      <c r="O96" s="389">
        <f t="shared" si="171"/>
        <v>0</v>
      </c>
      <c r="P96" s="389">
        <f t="shared" si="171"/>
        <v>0</v>
      </c>
      <c r="Q96" s="389">
        <f t="shared" si="171"/>
        <v>0</v>
      </c>
      <c r="R96" s="389">
        <f t="shared" si="130"/>
        <v>1</v>
      </c>
      <c r="S96" s="389">
        <f t="shared" si="130"/>
        <v>0</v>
      </c>
      <c r="T96" s="389">
        <f t="shared" si="130"/>
        <v>0</v>
      </c>
      <c r="U96" s="39">
        <f t="shared" si="134"/>
        <v>0</v>
      </c>
      <c r="W96" s="383">
        <f t="shared" si="135"/>
        <v>0</v>
      </c>
      <c r="X96" s="383">
        <f t="shared" si="136"/>
        <v>0</v>
      </c>
      <c r="Y96" s="383">
        <f t="shared" si="137"/>
        <v>0</v>
      </c>
      <c r="Z96" s="383">
        <f t="shared" si="138"/>
        <v>0</v>
      </c>
      <c r="AA96" s="383">
        <f t="shared" si="139"/>
        <v>0</v>
      </c>
      <c r="AB96" s="383">
        <f t="shared" si="140"/>
        <v>8331.172583926602</v>
      </c>
      <c r="AC96" s="383">
        <f t="shared" si="141"/>
        <v>0</v>
      </c>
      <c r="AD96" s="383">
        <f t="shared" si="142"/>
        <v>0</v>
      </c>
      <c r="AE96" s="58"/>
      <c r="AF96" s="383"/>
      <c r="AG96" s="383"/>
      <c r="AH96" s="383"/>
      <c r="AI96" s="383"/>
      <c r="AJ96" s="383"/>
      <c r="AK96" s="383"/>
      <c r="AL96" s="383"/>
      <c r="AM96" s="383"/>
      <c r="AP96" s="383">
        <f t="shared" si="146"/>
        <v>0</v>
      </c>
      <c r="AQ96" s="383">
        <f t="shared" si="147"/>
        <v>0</v>
      </c>
      <c r="AR96" s="383">
        <f t="shared" si="148"/>
        <v>0</v>
      </c>
      <c r="AS96" s="383">
        <f t="shared" si="149"/>
        <v>0</v>
      </c>
      <c r="AT96" s="383">
        <f t="shared" si="150"/>
        <v>0</v>
      </c>
      <c r="AU96" s="383">
        <f t="shared" si="151"/>
        <v>9396</v>
      </c>
      <c r="AV96" s="383">
        <f t="shared" si="152"/>
        <v>0</v>
      </c>
      <c r="AW96" s="383">
        <f t="shared" si="153"/>
        <v>0</v>
      </c>
      <c r="AX96" s="58"/>
      <c r="AY96" s="383" t="s">
        <v>80</v>
      </c>
      <c r="AZ96" s="383">
        <v>728.424</v>
      </c>
      <c r="BA96" s="383">
        <f t="shared" si="154"/>
        <v>0</v>
      </c>
      <c r="BB96" s="383">
        <f t="shared" si="155"/>
        <v>0</v>
      </c>
      <c r="BC96" s="383">
        <f t="shared" si="156"/>
        <v>0</v>
      </c>
      <c r="BD96" s="383">
        <f t="shared" si="157"/>
        <v>0</v>
      </c>
      <c r="BE96" s="383">
        <f t="shared" si="158"/>
        <v>0</v>
      </c>
      <c r="BF96" s="383">
        <f t="shared" si="159"/>
        <v>728.424</v>
      </c>
      <c r="BG96" s="383">
        <f t="shared" si="160"/>
        <v>0</v>
      </c>
      <c r="BH96" s="383">
        <f t="shared" si="161"/>
        <v>0</v>
      </c>
      <c r="BJ96" s="382" t="s">
        <v>80</v>
      </c>
      <c r="BK96" s="383">
        <v>9085</v>
      </c>
      <c r="BL96" s="383">
        <f t="shared" si="162"/>
        <v>0</v>
      </c>
      <c r="BM96" s="383">
        <f t="shared" si="163"/>
        <v>0</v>
      </c>
      <c r="BN96" s="383">
        <f t="shared" si="164"/>
        <v>0</v>
      </c>
      <c r="BO96" s="383">
        <f t="shared" si="165"/>
        <v>0</v>
      </c>
      <c r="BP96" s="383">
        <f t="shared" si="166"/>
        <v>0</v>
      </c>
      <c r="BQ96" s="383">
        <f t="shared" si="167"/>
        <v>9085</v>
      </c>
      <c r="BR96" s="383">
        <f t="shared" si="168"/>
        <v>0</v>
      </c>
      <c r="BS96" s="383">
        <f t="shared" si="169"/>
        <v>0</v>
      </c>
    </row>
    <row r="97" spans="1:71" ht="11.25">
      <c r="A97" s="60"/>
      <c r="B97" s="405"/>
      <c r="C97" s="406" t="s">
        <v>79</v>
      </c>
      <c r="D97" s="382" t="s">
        <v>189</v>
      </c>
      <c r="E97" s="383">
        <f>IF(ISERROR(VLOOKUP(C97,'CA Level'!$B$92:$D$108,3,FALSE)),0,VLOOKUP(C97,'CA Level'!$B$92:$D$108,3,FALSE))</f>
        <v>1978.6649514956994</v>
      </c>
      <c r="F97" s="383">
        <v>2271.2881899999998</v>
      </c>
      <c r="G97" s="397">
        <f t="shared" si="132"/>
        <v>292.6232385043004</v>
      </c>
      <c r="H97" s="398">
        <f t="shared" si="133"/>
        <v>0.147889231212744</v>
      </c>
      <c r="I97" s="424"/>
      <c r="J97" s="415"/>
      <c r="K97" s="46"/>
      <c r="L97" s="388" t="s">
        <v>28</v>
      </c>
      <c r="M97" s="389">
        <f t="shared" si="171"/>
        <v>0</v>
      </c>
      <c r="N97" s="389">
        <f t="shared" si="171"/>
        <v>0</v>
      </c>
      <c r="O97" s="389">
        <f t="shared" si="171"/>
        <v>0</v>
      </c>
      <c r="P97" s="389">
        <f t="shared" si="171"/>
        <v>0</v>
      </c>
      <c r="Q97" s="389">
        <f t="shared" si="171"/>
        <v>0</v>
      </c>
      <c r="R97" s="389">
        <f t="shared" si="130"/>
        <v>1</v>
      </c>
      <c r="S97" s="389">
        <f t="shared" si="130"/>
        <v>0</v>
      </c>
      <c r="T97" s="389">
        <f t="shared" si="130"/>
        <v>0</v>
      </c>
      <c r="U97" s="39">
        <f t="shared" si="134"/>
        <v>0</v>
      </c>
      <c r="W97" s="383">
        <f t="shared" si="135"/>
        <v>0</v>
      </c>
      <c r="X97" s="383">
        <f t="shared" si="136"/>
        <v>0</v>
      </c>
      <c r="Y97" s="383">
        <f t="shared" si="137"/>
        <v>0</v>
      </c>
      <c r="Z97" s="383">
        <f t="shared" si="138"/>
        <v>0</v>
      </c>
      <c r="AA97" s="383">
        <f t="shared" si="139"/>
        <v>0</v>
      </c>
      <c r="AB97" s="383">
        <f t="shared" si="140"/>
        <v>1978.6649514956994</v>
      </c>
      <c r="AC97" s="383">
        <f t="shared" si="141"/>
        <v>0</v>
      </c>
      <c r="AD97" s="383">
        <f t="shared" si="142"/>
        <v>0</v>
      </c>
      <c r="AE97" s="58"/>
      <c r="AF97" s="383"/>
      <c r="AG97" s="383"/>
      <c r="AH97" s="383"/>
      <c r="AI97" s="383"/>
      <c r="AJ97" s="383"/>
      <c r="AK97" s="383"/>
      <c r="AL97" s="383"/>
      <c r="AM97" s="383"/>
      <c r="AP97" s="383">
        <f t="shared" si="146"/>
        <v>0</v>
      </c>
      <c r="AQ97" s="383">
        <f t="shared" si="147"/>
        <v>0</v>
      </c>
      <c r="AR97" s="383">
        <f t="shared" si="148"/>
        <v>0</v>
      </c>
      <c r="AS97" s="383">
        <f t="shared" si="149"/>
        <v>0</v>
      </c>
      <c r="AT97" s="383">
        <f t="shared" si="150"/>
        <v>0</v>
      </c>
      <c r="AU97" s="383">
        <f t="shared" si="151"/>
        <v>2271.2881899999998</v>
      </c>
      <c r="AV97" s="383">
        <f t="shared" si="152"/>
        <v>0</v>
      </c>
      <c r="AW97" s="383">
        <f t="shared" si="153"/>
        <v>0</v>
      </c>
      <c r="AX97" s="58"/>
      <c r="AY97" s="383" t="s">
        <v>79</v>
      </c>
      <c r="AZ97" s="383">
        <v>182.106</v>
      </c>
      <c r="BA97" s="383">
        <f t="shared" si="154"/>
        <v>0</v>
      </c>
      <c r="BB97" s="383">
        <f t="shared" si="155"/>
        <v>0</v>
      </c>
      <c r="BC97" s="383">
        <f t="shared" si="156"/>
        <v>0</v>
      </c>
      <c r="BD97" s="383">
        <f t="shared" si="157"/>
        <v>0</v>
      </c>
      <c r="BE97" s="383">
        <f t="shared" si="158"/>
        <v>0</v>
      </c>
      <c r="BF97" s="383">
        <f t="shared" si="159"/>
        <v>182.106</v>
      </c>
      <c r="BG97" s="383">
        <f t="shared" si="160"/>
        <v>0</v>
      </c>
      <c r="BH97" s="383">
        <f t="shared" si="161"/>
        <v>0</v>
      </c>
      <c r="BJ97" s="382" t="s">
        <v>79</v>
      </c>
      <c r="BK97" s="383">
        <v>2157.7</v>
      </c>
      <c r="BL97" s="383">
        <f t="shared" si="162"/>
        <v>0</v>
      </c>
      <c r="BM97" s="383">
        <f t="shared" si="163"/>
        <v>0</v>
      </c>
      <c r="BN97" s="383">
        <f t="shared" si="164"/>
        <v>0</v>
      </c>
      <c r="BO97" s="383">
        <f t="shared" si="165"/>
        <v>0</v>
      </c>
      <c r="BP97" s="383">
        <f t="shared" si="166"/>
        <v>0</v>
      </c>
      <c r="BQ97" s="383">
        <f t="shared" si="167"/>
        <v>2157.7</v>
      </c>
      <c r="BR97" s="383">
        <f t="shared" si="168"/>
        <v>0</v>
      </c>
      <c r="BS97" s="383">
        <f t="shared" si="169"/>
        <v>0</v>
      </c>
    </row>
    <row r="98" spans="1:71" ht="11.25">
      <c r="A98" s="60"/>
      <c r="B98" s="405"/>
      <c r="C98" s="406" t="s">
        <v>78</v>
      </c>
      <c r="D98" s="382" t="s">
        <v>188</v>
      </c>
      <c r="E98" s="383">
        <f>IF(ISERROR(VLOOKUP(C98,'CA Level'!$B$92:$D$108,3,FALSE)),0,VLOOKUP(C98,'CA Level'!$B$92:$D$108,3,FALSE))</f>
        <v>8824.165251083337</v>
      </c>
      <c r="F98" s="383">
        <v>10075.77924</v>
      </c>
      <c r="G98" s="397">
        <f t="shared" si="132"/>
        <v>1251.6139889166625</v>
      </c>
      <c r="H98" s="398">
        <f t="shared" si="133"/>
        <v>0.14183936421215623</v>
      </c>
      <c r="I98" s="417"/>
      <c r="J98" s="415"/>
      <c r="K98" s="46"/>
      <c r="L98" s="388" t="s">
        <v>28</v>
      </c>
      <c r="M98" s="389">
        <f t="shared" si="171"/>
        <v>0</v>
      </c>
      <c r="N98" s="389">
        <f t="shared" si="171"/>
        <v>0</v>
      </c>
      <c r="O98" s="389">
        <f t="shared" si="171"/>
        <v>0</v>
      </c>
      <c r="P98" s="389">
        <f t="shared" si="171"/>
        <v>0</v>
      </c>
      <c r="Q98" s="389">
        <f t="shared" si="171"/>
        <v>0</v>
      </c>
      <c r="R98" s="389">
        <f t="shared" si="130"/>
        <v>1</v>
      </c>
      <c r="S98" s="389">
        <f t="shared" si="130"/>
        <v>0</v>
      </c>
      <c r="T98" s="389">
        <f t="shared" si="130"/>
        <v>0</v>
      </c>
      <c r="U98" s="39">
        <f t="shared" si="134"/>
        <v>0</v>
      </c>
      <c r="W98" s="383">
        <f t="shared" si="135"/>
        <v>0</v>
      </c>
      <c r="X98" s="383">
        <f t="shared" si="136"/>
        <v>0</v>
      </c>
      <c r="Y98" s="383">
        <f t="shared" si="137"/>
        <v>0</v>
      </c>
      <c r="Z98" s="383">
        <f t="shared" si="138"/>
        <v>0</v>
      </c>
      <c r="AA98" s="383">
        <f t="shared" si="139"/>
        <v>0</v>
      </c>
      <c r="AB98" s="383">
        <f t="shared" si="140"/>
        <v>8824.165251083337</v>
      </c>
      <c r="AC98" s="383">
        <f t="shared" si="141"/>
        <v>0</v>
      </c>
      <c r="AD98" s="383">
        <f t="shared" si="142"/>
        <v>0</v>
      </c>
      <c r="AE98" s="58"/>
      <c r="AF98" s="383"/>
      <c r="AG98" s="383"/>
      <c r="AH98" s="383"/>
      <c r="AI98" s="383"/>
      <c r="AJ98" s="383"/>
      <c r="AK98" s="383"/>
      <c r="AL98" s="383"/>
      <c r="AM98" s="383"/>
      <c r="AP98" s="383">
        <f t="shared" si="146"/>
        <v>0</v>
      </c>
      <c r="AQ98" s="383">
        <f t="shared" si="147"/>
        <v>0</v>
      </c>
      <c r="AR98" s="383">
        <f t="shared" si="148"/>
        <v>0</v>
      </c>
      <c r="AS98" s="383">
        <f t="shared" si="149"/>
        <v>0</v>
      </c>
      <c r="AT98" s="383">
        <f t="shared" si="150"/>
        <v>0</v>
      </c>
      <c r="AU98" s="383">
        <f t="shared" si="151"/>
        <v>10075.77924</v>
      </c>
      <c r="AV98" s="383">
        <f t="shared" si="152"/>
        <v>0</v>
      </c>
      <c r="AW98" s="383">
        <f t="shared" si="153"/>
        <v>0</v>
      </c>
      <c r="AX98" s="58"/>
      <c r="AY98" s="383" t="s">
        <v>78</v>
      </c>
      <c r="AZ98" s="383">
        <v>539.197</v>
      </c>
      <c r="BA98" s="383">
        <f t="shared" si="154"/>
        <v>0</v>
      </c>
      <c r="BB98" s="383">
        <f t="shared" si="155"/>
        <v>0</v>
      </c>
      <c r="BC98" s="383">
        <f t="shared" si="156"/>
        <v>0</v>
      </c>
      <c r="BD98" s="383">
        <f t="shared" si="157"/>
        <v>0</v>
      </c>
      <c r="BE98" s="383">
        <f t="shared" si="158"/>
        <v>0</v>
      </c>
      <c r="BF98" s="383">
        <f t="shared" si="159"/>
        <v>539.197</v>
      </c>
      <c r="BG98" s="383">
        <f t="shared" si="160"/>
        <v>0</v>
      </c>
      <c r="BH98" s="383">
        <f t="shared" si="161"/>
        <v>0</v>
      </c>
      <c r="BJ98" s="382" t="s">
        <v>78</v>
      </c>
      <c r="BK98" s="383">
        <v>9622.6</v>
      </c>
      <c r="BL98" s="383">
        <f t="shared" si="162"/>
        <v>0</v>
      </c>
      <c r="BM98" s="383">
        <f t="shared" si="163"/>
        <v>0</v>
      </c>
      <c r="BN98" s="383">
        <f t="shared" si="164"/>
        <v>0</v>
      </c>
      <c r="BO98" s="383">
        <f t="shared" si="165"/>
        <v>0</v>
      </c>
      <c r="BP98" s="383">
        <f t="shared" si="166"/>
        <v>0</v>
      </c>
      <c r="BQ98" s="383">
        <f t="shared" si="167"/>
        <v>9622.6</v>
      </c>
      <c r="BR98" s="383">
        <f t="shared" si="168"/>
        <v>0</v>
      </c>
      <c r="BS98" s="383">
        <f t="shared" si="169"/>
        <v>0</v>
      </c>
    </row>
    <row r="99" spans="1:71" ht="11.25">
      <c r="A99" s="60"/>
      <c r="B99" s="405"/>
      <c r="C99" s="406" t="s">
        <v>77</v>
      </c>
      <c r="D99" s="382" t="s">
        <v>187</v>
      </c>
      <c r="E99" s="383">
        <f>IF(ISERROR(VLOOKUP(C99,'CA Level'!$B$92:$D$108,3,FALSE)),0,VLOOKUP(C99,'CA Level'!$B$92:$D$108,3,FALSE))</f>
        <v>2446.989644793588</v>
      </c>
      <c r="F99" s="383">
        <v>2734.0335299999997</v>
      </c>
      <c r="G99" s="397">
        <f t="shared" si="132"/>
        <v>287.0438852064117</v>
      </c>
      <c r="H99" s="398">
        <f t="shared" si="133"/>
        <v>0.11730490393253169</v>
      </c>
      <c r="I99" s="417"/>
      <c r="J99" s="415"/>
      <c r="K99" s="46"/>
      <c r="L99" s="388" t="s">
        <v>28</v>
      </c>
      <c r="M99" s="389">
        <f t="shared" si="171"/>
        <v>0</v>
      </c>
      <c r="N99" s="389">
        <f t="shared" si="171"/>
        <v>0</v>
      </c>
      <c r="O99" s="389">
        <f t="shared" si="171"/>
        <v>0</v>
      </c>
      <c r="P99" s="389">
        <f t="shared" si="171"/>
        <v>0</v>
      </c>
      <c r="Q99" s="389">
        <f t="shared" si="171"/>
        <v>0</v>
      </c>
      <c r="R99" s="389">
        <f t="shared" si="130"/>
        <v>1</v>
      </c>
      <c r="S99" s="389">
        <f t="shared" si="130"/>
        <v>0</v>
      </c>
      <c r="T99" s="389">
        <f t="shared" si="130"/>
        <v>0</v>
      </c>
      <c r="U99" s="39">
        <f t="shared" si="134"/>
        <v>0</v>
      </c>
      <c r="W99" s="383">
        <f t="shared" si="135"/>
        <v>0</v>
      </c>
      <c r="X99" s="383">
        <f t="shared" si="136"/>
        <v>0</v>
      </c>
      <c r="Y99" s="383">
        <f t="shared" si="137"/>
        <v>0</v>
      </c>
      <c r="Z99" s="383">
        <f t="shared" si="138"/>
        <v>0</v>
      </c>
      <c r="AA99" s="383">
        <f t="shared" si="139"/>
        <v>0</v>
      </c>
      <c r="AB99" s="383">
        <f t="shared" si="140"/>
        <v>2446.989644793588</v>
      </c>
      <c r="AC99" s="383">
        <f t="shared" si="141"/>
        <v>0</v>
      </c>
      <c r="AD99" s="383">
        <f t="shared" si="142"/>
        <v>0</v>
      </c>
      <c r="AE99" s="58"/>
      <c r="AF99" s="383"/>
      <c r="AG99" s="383"/>
      <c r="AH99" s="383"/>
      <c r="AI99" s="383"/>
      <c r="AJ99" s="383"/>
      <c r="AK99" s="383"/>
      <c r="AL99" s="383"/>
      <c r="AM99" s="383"/>
      <c r="AP99" s="383">
        <f t="shared" si="146"/>
        <v>0</v>
      </c>
      <c r="AQ99" s="383">
        <f t="shared" si="147"/>
        <v>0</v>
      </c>
      <c r="AR99" s="383">
        <f t="shared" si="148"/>
        <v>0</v>
      </c>
      <c r="AS99" s="383">
        <f t="shared" si="149"/>
        <v>0</v>
      </c>
      <c r="AT99" s="383">
        <f t="shared" si="150"/>
        <v>0</v>
      </c>
      <c r="AU99" s="383">
        <f t="shared" si="151"/>
        <v>2734.0335299999997</v>
      </c>
      <c r="AV99" s="383">
        <f t="shared" si="152"/>
        <v>0</v>
      </c>
      <c r="AW99" s="383">
        <f t="shared" si="153"/>
        <v>0</v>
      </c>
      <c r="AX99" s="58"/>
      <c r="AY99" s="383" t="s">
        <v>77</v>
      </c>
      <c r="AZ99" s="383">
        <v>17634.665</v>
      </c>
      <c r="BA99" s="383">
        <f t="shared" si="154"/>
        <v>0</v>
      </c>
      <c r="BB99" s="383">
        <f t="shared" si="155"/>
        <v>0</v>
      </c>
      <c r="BC99" s="383">
        <f t="shared" si="156"/>
        <v>0</v>
      </c>
      <c r="BD99" s="383">
        <f t="shared" si="157"/>
        <v>0</v>
      </c>
      <c r="BE99" s="383">
        <f t="shared" si="158"/>
        <v>0</v>
      </c>
      <c r="BF99" s="383">
        <f t="shared" si="159"/>
        <v>17634.665</v>
      </c>
      <c r="BG99" s="383">
        <f t="shared" si="160"/>
        <v>0</v>
      </c>
      <c r="BH99" s="383">
        <f t="shared" si="161"/>
        <v>0</v>
      </c>
      <c r="BJ99" s="382" t="s">
        <v>77</v>
      </c>
      <c r="BK99" s="383">
        <v>2668.4</v>
      </c>
      <c r="BL99" s="383">
        <f t="shared" si="162"/>
        <v>0</v>
      </c>
      <c r="BM99" s="383">
        <f t="shared" si="163"/>
        <v>0</v>
      </c>
      <c r="BN99" s="383">
        <f t="shared" si="164"/>
        <v>0</v>
      </c>
      <c r="BO99" s="383">
        <f t="shared" si="165"/>
        <v>0</v>
      </c>
      <c r="BP99" s="383">
        <f t="shared" si="166"/>
        <v>0</v>
      </c>
      <c r="BQ99" s="383">
        <f t="shared" si="167"/>
        <v>2668.4</v>
      </c>
      <c r="BR99" s="383">
        <f t="shared" si="168"/>
        <v>0</v>
      </c>
      <c r="BS99" s="383">
        <f t="shared" si="169"/>
        <v>0</v>
      </c>
    </row>
    <row r="100" spans="1:71" ht="11.25">
      <c r="A100" s="60"/>
      <c r="B100" s="405"/>
      <c r="C100" s="406" t="s">
        <v>76</v>
      </c>
      <c r="D100" s="382" t="s">
        <v>186</v>
      </c>
      <c r="E100" s="383">
        <f>IF(ISERROR(VLOOKUP(C100,'CA Level'!$B$92:$D$108,3,FALSE)),0,VLOOKUP(C100,'CA Level'!$B$92:$D$108,3,FALSE))</f>
        <v>6902.080745204399</v>
      </c>
      <c r="F100" s="383">
        <v>7518.54975</v>
      </c>
      <c r="G100" s="397">
        <f t="shared" si="132"/>
        <v>616.469004795601</v>
      </c>
      <c r="H100" s="398">
        <f t="shared" si="133"/>
        <v>0.08931640001805641</v>
      </c>
      <c r="I100" s="417"/>
      <c r="J100" s="415"/>
      <c r="K100" s="46"/>
      <c r="L100" s="388" t="s">
        <v>28</v>
      </c>
      <c r="M100" s="389">
        <f t="shared" si="171"/>
        <v>0</v>
      </c>
      <c r="N100" s="389">
        <f t="shared" si="171"/>
        <v>0</v>
      </c>
      <c r="O100" s="389">
        <f t="shared" si="171"/>
        <v>0</v>
      </c>
      <c r="P100" s="389">
        <f t="shared" si="171"/>
        <v>0</v>
      </c>
      <c r="Q100" s="389">
        <f t="shared" si="171"/>
        <v>0</v>
      </c>
      <c r="R100" s="389">
        <f t="shared" si="130"/>
        <v>1</v>
      </c>
      <c r="S100" s="389">
        <f t="shared" si="130"/>
        <v>0</v>
      </c>
      <c r="T100" s="389">
        <f t="shared" si="130"/>
        <v>0</v>
      </c>
      <c r="U100" s="39">
        <f t="shared" si="134"/>
        <v>0</v>
      </c>
      <c r="W100" s="383">
        <f t="shared" si="135"/>
        <v>0</v>
      </c>
      <c r="X100" s="383">
        <f t="shared" si="136"/>
        <v>0</v>
      </c>
      <c r="Y100" s="383">
        <f t="shared" si="137"/>
        <v>0</v>
      </c>
      <c r="Z100" s="383">
        <f t="shared" si="138"/>
        <v>0</v>
      </c>
      <c r="AA100" s="383">
        <f t="shared" si="139"/>
        <v>0</v>
      </c>
      <c r="AB100" s="383">
        <f t="shared" si="140"/>
        <v>6902.080745204399</v>
      </c>
      <c r="AC100" s="383">
        <f t="shared" si="141"/>
        <v>0</v>
      </c>
      <c r="AD100" s="383">
        <f t="shared" si="142"/>
        <v>0</v>
      </c>
      <c r="AE100" s="58"/>
      <c r="AF100" s="383"/>
      <c r="AG100" s="383"/>
      <c r="AH100" s="383"/>
      <c r="AI100" s="383"/>
      <c r="AJ100" s="383"/>
      <c r="AK100" s="383"/>
      <c r="AL100" s="383"/>
      <c r="AM100" s="383"/>
      <c r="AP100" s="383">
        <f t="shared" si="146"/>
        <v>0</v>
      </c>
      <c r="AQ100" s="383">
        <f t="shared" si="147"/>
        <v>0</v>
      </c>
      <c r="AR100" s="383">
        <f t="shared" si="148"/>
        <v>0</v>
      </c>
      <c r="AS100" s="383">
        <f t="shared" si="149"/>
        <v>0</v>
      </c>
      <c r="AT100" s="383">
        <f t="shared" si="150"/>
        <v>0</v>
      </c>
      <c r="AU100" s="383">
        <f t="shared" si="151"/>
        <v>7518.54975</v>
      </c>
      <c r="AV100" s="383">
        <f t="shared" si="152"/>
        <v>0</v>
      </c>
      <c r="AW100" s="383">
        <f t="shared" si="153"/>
        <v>0</v>
      </c>
      <c r="AX100" s="58"/>
      <c r="AY100" s="383" t="s">
        <v>76</v>
      </c>
      <c r="AZ100" s="383">
        <v>671.84</v>
      </c>
      <c r="BA100" s="383">
        <f t="shared" si="154"/>
        <v>0</v>
      </c>
      <c r="BB100" s="383">
        <f t="shared" si="155"/>
        <v>0</v>
      </c>
      <c r="BC100" s="383">
        <f t="shared" si="156"/>
        <v>0</v>
      </c>
      <c r="BD100" s="383">
        <f t="shared" si="157"/>
        <v>0</v>
      </c>
      <c r="BE100" s="383">
        <f t="shared" si="158"/>
        <v>0</v>
      </c>
      <c r="BF100" s="383">
        <f t="shared" si="159"/>
        <v>671.84</v>
      </c>
      <c r="BG100" s="383">
        <f t="shared" si="160"/>
        <v>0</v>
      </c>
      <c r="BH100" s="383">
        <f t="shared" si="161"/>
        <v>0</v>
      </c>
      <c r="BJ100" s="382" t="s">
        <v>76</v>
      </c>
      <c r="BK100" s="383">
        <v>7526.6</v>
      </c>
      <c r="BL100" s="383">
        <f t="shared" si="162"/>
        <v>0</v>
      </c>
      <c r="BM100" s="383">
        <f t="shared" si="163"/>
        <v>0</v>
      </c>
      <c r="BN100" s="383">
        <f t="shared" si="164"/>
        <v>0</v>
      </c>
      <c r="BO100" s="383">
        <f t="shared" si="165"/>
        <v>0</v>
      </c>
      <c r="BP100" s="383">
        <f t="shared" si="166"/>
        <v>0</v>
      </c>
      <c r="BQ100" s="383">
        <f t="shared" si="167"/>
        <v>7526.6</v>
      </c>
      <c r="BR100" s="383">
        <f t="shared" si="168"/>
        <v>0</v>
      </c>
      <c r="BS100" s="383">
        <f t="shared" si="169"/>
        <v>0</v>
      </c>
    </row>
    <row r="101" spans="1:71" ht="11.25">
      <c r="A101" s="60"/>
      <c r="B101" s="405"/>
      <c r="C101" s="406" t="s">
        <v>75</v>
      </c>
      <c r="D101" s="382" t="s">
        <v>185</v>
      </c>
      <c r="E101" s="383">
        <f>IF(ISERROR(VLOOKUP(C101,'CA Level'!$B$92:$D$108,3,FALSE)),0,VLOOKUP(C101,'CA Level'!$B$92:$D$108,3,FALSE))</f>
        <v>6918.403791103561</v>
      </c>
      <c r="F101" s="383">
        <v>5862.417280000001</v>
      </c>
      <c r="G101" s="397">
        <f t="shared" si="132"/>
        <v>-1055.9865111035606</v>
      </c>
      <c r="H101" s="398">
        <f t="shared" si="133"/>
        <v>-0.15263441438059214</v>
      </c>
      <c r="I101" s="417"/>
      <c r="J101" s="415"/>
      <c r="K101" s="46"/>
      <c r="L101" s="388" t="s">
        <v>28</v>
      </c>
      <c r="M101" s="389">
        <f t="shared" si="171"/>
        <v>0</v>
      </c>
      <c r="N101" s="389">
        <f t="shared" si="171"/>
        <v>0</v>
      </c>
      <c r="O101" s="389">
        <f t="shared" si="171"/>
        <v>0</v>
      </c>
      <c r="P101" s="389">
        <f t="shared" si="171"/>
        <v>0</v>
      </c>
      <c r="Q101" s="389">
        <f t="shared" si="171"/>
        <v>0</v>
      </c>
      <c r="R101" s="389">
        <f aca="true" t="shared" si="172" ref="R101:T113">IF($L101=R$22,1,0)</f>
        <v>1</v>
      </c>
      <c r="S101" s="389">
        <f t="shared" si="172"/>
        <v>0</v>
      </c>
      <c r="T101" s="389">
        <f t="shared" si="172"/>
        <v>0</v>
      </c>
      <c r="U101" s="39">
        <f t="shared" si="134"/>
        <v>0</v>
      </c>
      <c r="W101" s="383">
        <f t="shared" si="135"/>
        <v>0</v>
      </c>
      <c r="X101" s="383">
        <f t="shared" si="136"/>
        <v>0</v>
      </c>
      <c r="Y101" s="383">
        <f t="shared" si="137"/>
        <v>0</v>
      </c>
      <c r="Z101" s="383">
        <f t="shared" si="138"/>
        <v>0</v>
      </c>
      <c r="AA101" s="383">
        <f t="shared" si="139"/>
        <v>0</v>
      </c>
      <c r="AB101" s="383">
        <f t="shared" si="140"/>
        <v>6918.403791103561</v>
      </c>
      <c r="AC101" s="383">
        <f t="shared" si="141"/>
        <v>0</v>
      </c>
      <c r="AD101" s="383">
        <f t="shared" si="142"/>
        <v>0</v>
      </c>
      <c r="AE101" s="58"/>
      <c r="AF101" s="383"/>
      <c r="AG101" s="383"/>
      <c r="AH101" s="383"/>
      <c r="AI101" s="383"/>
      <c r="AJ101" s="383"/>
      <c r="AK101" s="383"/>
      <c r="AL101" s="383"/>
      <c r="AM101" s="383"/>
      <c r="AP101" s="383">
        <f t="shared" si="146"/>
        <v>0</v>
      </c>
      <c r="AQ101" s="383">
        <f t="shared" si="147"/>
        <v>0</v>
      </c>
      <c r="AR101" s="383">
        <f t="shared" si="148"/>
        <v>0</v>
      </c>
      <c r="AS101" s="383">
        <f t="shared" si="149"/>
        <v>0</v>
      </c>
      <c r="AT101" s="383">
        <f t="shared" si="150"/>
        <v>0</v>
      </c>
      <c r="AU101" s="383">
        <f t="shared" si="151"/>
        <v>5862.417280000001</v>
      </c>
      <c r="AV101" s="383">
        <f t="shared" si="152"/>
        <v>0</v>
      </c>
      <c r="AW101" s="383">
        <f t="shared" si="153"/>
        <v>0</v>
      </c>
      <c r="AX101" s="58"/>
      <c r="AY101" s="383" t="s">
        <v>75</v>
      </c>
      <c r="AZ101" s="383">
        <v>5431.348</v>
      </c>
      <c r="BA101" s="383">
        <f t="shared" si="154"/>
        <v>0</v>
      </c>
      <c r="BB101" s="383">
        <f t="shared" si="155"/>
        <v>0</v>
      </c>
      <c r="BC101" s="383">
        <f t="shared" si="156"/>
        <v>0</v>
      </c>
      <c r="BD101" s="383">
        <f t="shared" si="157"/>
        <v>0</v>
      </c>
      <c r="BE101" s="383">
        <f t="shared" si="158"/>
        <v>0</v>
      </c>
      <c r="BF101" s="383">
        <f t="shared" si="159"/>
        <v>5431.348</v>
      </c>
      <c r="BG101" s="383">
        <f t="shared" si="160"/>
        <v>0</v>
      </c>
      <c r="BH101" s="383">
        <f t="shared" si="161"/>
        <v>0</v>
      </c>
      <c r="BJ101" s="382" t="s">
        <v>75</v>
      </c>
      <c r="BK101" s="383">
        <v>7544.4</v>
      </c>
      <c r="BL101" s="383">
        <f t="shared" si="162"/>
        <v>0</v>
      </c>
      <c r="BM101" s="383">
        <f t="shared" si="163"/>
        <v>0</v>
      </c>
      <c r="BN101" s="383">
        <f t="shared" si="164"/>
        <v>0</v>
      </c>
      <c r="BO101" s="383">
        <f t="shared" si="165"/>
        <v>0</v>
      </c>
      <c r="BP101" s="383">
        <f t="shared" si="166"/>
        <v>0</v>
      </c>
      <c r="BQ101" s="383">
        <f t="shared" si="167"/>
        <v>7544.4</v>
      </c>
      <c r="BR101" s="383">
        <f t="shared" si="168"/>
        <v>0</v>
      </c>
      <c r="BS101" s="383">
        <f t="shared" si="169"/>
        <v>0</v>
      </c>
    </row>
    <row r="102" spans="1:71" ht="11.25">
      <c r="A102" s="60"/>
      <c r="B102" s="405"/>
      <c r="C102" s="406" t="s">
        <v>74</v>
      </c>
      <c r="D102" s="382" t="s">
        <v>184</v>
      </c>
      <c r="E102" s="383">
        <f>IF(ISERROR(VLOOKUP(C102,'CA Level'!$B$92:$D$108,3,FALSE)),0,VLOOKUP(C102,'CA Level'!$B$92:$D$108,3,FALSE))</f>
        <v>2472.9414537231555</v>
      </c>
      <c r="F102" s="383">
        <v>2559.35786</v>
      </c>
      <c r="G102" s="397">
        <f t="shared" si="132"/>
        <v>86.41640627684455</v>
      </c>
      <c r="H102" s="398">
        <f t="shared" si="133"/>
        <v>0.03494478453856628</v>
      </c>
      <c r="I102" s="417"/>
      <c r="J102" s="415"/>
      <c r="K102" s="46"/>
      <c r="L102" s="388" t="s">
        <v>28</v>
      </c>
      <c r="M102" s="389">
        <f t="shared" si="171"/>
        <v>0</v>
      </c>
      <c r="N102" s="389">
        <f t="shared" si="171"/>
        <v>0</v>
      </c>
      <c r="O102" s="389">
        <f t="shared" si="171"/>
        <v>0</v>
      </c>
      <c r="P102" s="389">
        <f t="shared" si="171"/>
        <v>0</v>
      </c>
      <c r="Q102" s="389">
        <f t="shared" si="171"/>
        <v>0</v>
      </c>
      <c r="R102" s="389">
        <f t="shared" si="172"/>
        <v>1</v>
      </c>
      <c r="S102" s="389">
        <f t="shared" si="172"/>
        <v>0</v>
      </c>
      <c r="T102" s="389">
        <f t="shared" si="172"/>
        <v>0</v>
      </c>
      <c r="U102" s="39">
        <f t="shared" si="134"/>
        <v>0</v>
      </c>
      <c r="W102" s="383">
        <f t="shared" si="135"/>
        <v>0</v>
      </c>
      <c r="X102" s="383">
        <f t="shared" si="136"/>
        <v>0</v>
      </c>
      <c r="Y102" s="383">
        <f t="shared" si="137"/>
        <v>0</v>
      </c>
      <c r="Z102" s="383">
        <f t="shared" si="138"/>
        <v>0</v>
      </c>
      <c r="AA102" s="383">
        <f t="shared" si="139"/>
        <v>0</v>
      </c>
      <c r="AB102" s="383">
        <f t="shared" si="140"/>
        <v>2472.9414537231555</v>
      </c>
      <c r="AC102" s="383">
        <f t="shared" si="141"/>
        <v>0</v>
      </c>
      <c r="AD102" s="383">
        <f t="shared" si="142"/>
        <v>0</v>
      </c>
      <c r="AE102" s="58"/>
      <c r="AF102" s="383"/>
      <c r="AG102" s="383"/>
      <c r="AH102" s="383"/>
      <c r="AI102" s="383"/>
      <c r="AJ102" s="383"/>
      <c r="AK102" s="383"/>
      <c r="AL102" s="383"/>
      <c r="AM102" s="383"/>
      <c r="AP102" s="383">
        <f t="shared" si="146"/>
        <v>0</v>
      </c>
      <c r="AQ102" s="383">
        <f t="shared" si="147"/>
        <v>0</v>
      </c>
      <c r="AR102" s="383">
        <f t="shared" si="148"/>
        <v>0</v>
      </c>
      <c r="AS102" s="383">
        <f t="shared" si="149"/>
        <v>0</v>
      </c>
      <c r="AT102" s="383">
        <f t="shared" si="150"/>
        <v>0</v>
      </c>
      <c r="AU102" s="383">
        <f t="shared" si="151"/>
        <v>2559.35786</v>
      </c>
      <c r="AV102" s="383">
        <f t="shared" si="152"/>
        <v>0</v>
      </c>
      <c r="AW102" s="383">
        <f t="shared" si="153"/>
        <v>0</v>
      </c>
      <c r="AX102" s="58"/>
      <c r="AY102" s="383" t="s">
        <v>74</v>
      </c>
      <c r="AZ102" s="383">
        <v>5363.867760000001</v>
      </c>
      <c r="BA102" s="383">
        <f t="shared" si="154"/>
        <v>0</v>
      </c>
      <c r="BB102" s="383">
        <f t="shared" si="155"/>
        <v>0</v>
      </c>
      <c r="BC102" s="383">
        <f t="shared" si="156"/>
        <v>0</v>
      </c>
      <c r="BD102" s="383">
        <f t="shared" si="157"/>
        <v>0</v>
      </c>
      <c r="BE102" s="383">
        <f t="shared" si="158"/>
        <v>0</v>
      </c>
      <c r="BF102" s="383">
        <f t="shared" si="159"/>
        <v>5363.867760000001</v>
      </c>
      <c r="BG102" s="383">
        <f t="shared" si="160"/>
        <v>0</v>
      </c>
      <c r="BH102" s="383">
        <f t="shared" si="161"/>
        <v>0</v>
      </c>
      <c r="BJ102" s="382" t="s">
        <v>74</v>
      </c>
      <c r="BK102" s="383">
        <v>2696.7</v>
      </c>
      <c r="BL102" s="383">
        <f t="shared" si="162"/>
        <v>0</v>
      </c>
      <c r="BM102" s="383">
        <f t="shared" si="163"/>
        <v>0</v>
      </c>
      <c r="BN102" s="383">
        <f t="shared" si="164"/>
        <v>0</v>
      </c>
      <c r="BO102" s="383">
        <f t="shared" si="165"/>
        <v>0</v>
      </c>
      <c r="BP102" s="383">
        <f t="shared" si="166"/>
        <v>0</v>
      </c>
      <c r="BQ102" s="383">
        <f t="shared" si="167"/>
        <v>2696.7</v>
      </c>
      <c r="BR102" s="383">
        <f t="shared" si="168"/>
        <v>0</v>
      </c>
      <c r="BS102" s="383">
        <f t="shared" si="169"/>
        <v>0</v>
      </c>
    </row>
    <row r="103" spans="1:71" ht="11.25">
      <c r="A103" s="60"/>
      <c r="B103" s="405"/>
      <c r="C103" s="406" t="s">
        <v>73</v>
      </c>
      <c r="D103" s="382" t="s">
        <v>183</v>
      </c>
      <c r="E103" s="383">
        <f>IF(ISERROR(VLOOKUP(C103,'CA Level'!$B$92:$D$108,3,FALSE)),0,VLOOKUP(C103,'CA Level'!$B$92:$D$108,3,FALSE))</f>
        <v>2474.1335862888245</v>
      </c>
      <c r="F103" s="383">
        <v>1669</v>
      </c>
      <c r="G103" s="397">
        <f t="shared" si="132"/>
        <v>-805.1335862888245</v>
      </c>
      <c r="H103" s="398">
        <f t="shared" si="133"/>
        <v>-0.325420418182236</v>
      </c>
      <c r="I103" s="417"/>
      <c r="J103" s="415"/>
      <c r="K103" s="46"/>
      <c r="L103" s="388" t="s">
        <v>28</v>
      </c>
      <c r="M103" s="389">
        <f t="shared" si="171"/>
        <v>0</v>
      </c>
      <c r="N103" s="389">
        <f t="shared" si="171"/>
        <v>0</v>
      </c>
      <c r="O103" s="389">
        <f t="shared" si="171"/>
        <v>0</v>
      </c>
      <c r="P103" s="389">
        <f t="shared" si="171"/>
        <v>0</v>
      </c>
      <c r="Q103" s="389">
        <f t="shared" si="171"/>
        <v>0</v>
      </c>
      <c r="R103" s="389">
        <f t="shared" si="172"/>
        <v>1</v>
      </c>
      <c r="S103" s="389">
        <f t="shared" si="172"/>
        <v>0</v>
      </c>
      <c r="T103" s="389">
        <f t="shared" si="172"/>
        <v>0</v>
      </c>
      <c r="U103" s="39">
        <f t="shared" si="134"/>
        <v>0</v>
      </c>
      <c r="W103" s="383">
        <f t="shared" si="135"/>
        <v>0</v>
      </c>
      <c r="X103" s="383">
        <f t="shared" si="136"/>
        <v>0</v>
      </c>
      <c r="Y103" s="383">
        <f t="shared" si="137"/>
        <v>0</v>
      </c>
      <c r="Z103" s="383">
        <f t="shared" si="138"/>
        <v>0</v>
      </c>
      <c r="AA103" s="383">
        <f t="shared" si="139"/>
        <v>0</v>
      </c>
      <c r="AB103" s="383">
        <f t="shared" si="140"/>
        <v>2474.1335862888245</v>
      </c>
      <c r="AC103" s="383">
        <f t="shared" si="141"/>
        <v>0</v>
      </c>
      <c r="AD103" s="383">
        <f t="shared" si="142"/>
        <v>0</v>
      </c>
      <c r="AE103" s="58"/>
      <c r="AF103" s="383"/>
      <c r="AG103" s="383"/>
      <c r="AH103" s="383"/>
      <c r="AI103" s="383"/>
      <c r="AJ103" s="383"/>
      <c r="AK103" s="383"/>
      <c r="AL103" s="383"/>
      <c r="AM103" s="383"/>
      <c r="AP103" s="383">
        <f t="shared" si="146"/>
        <v>0</v>
      </c>
      <c r="AQ103" s="383">
        <f t="shared" si="147"/>
        <v>0</v>
      </c>
      <c r="AR103" s="383">
        <f t="shared" si="148"/>
        <v>0</v>
      </c>
      <c r="AS103" s="383">
        <f t="shared" si="149"/>
        <v>0</v>
      </c>
      <c r="AT103" s="383">
        <f t="shared" si="150"/>
        <v>0</v>
      </c>
      <c r="AU103" s="383">
        <f t="shared" si="151"/>
        <v>1669</v>
      </c>
      <c r="AV103" s="383">
        <f t="shared" si="152"/>
        <v>0</v>
      </c>
      <c r="AW103" s="383">
        <f t="shared" si="153"/>
        <v>0</v>
      </c>
      <c r="AX103" s="58"/>
      <c r="AY103" s="383" t="s">
        <v>73</v>
      </c>
      <c r="AZ103" s="383">
        <v>13345.53</v>
      </c>
      <c r="BA103" s="383">
        <f t="shared" si="154"/>
        <v>0</v>
      </c>
      <c r="BB103" s="383">
        <f t="shared" si="155"/>
        <v>0</v>
      </c>
      <c r="BC103" s="383">
        <f t="shared" si="156"/>
        <v>0</v>
      </c>
      <c r="BD103" s="383">
        <f t="shared" si="157"/>
        <v>0</v>
      </c>
      <c r="BE103" s="383">
        <f t="shared" si="158"/>
        <v>0</v>
      </c>
      <c r="BF103" s="383">
        <f t="shared" si="159"/>
        <v>13345.53</v>
      </c>
      <c r="BG103" s="383">
        <f t="shared" si="160"/>
        <v>0</v>
      </c>
      <c r="BH103" s="383">
        <f t="shared" si="161"/>
        <v>0</v>
      </c>
      <c r="BJ103" s="382" t="s">
        <v>73</v>
      </c>
      <c r="BK103" s="383">
        <v>2698</v>
      </c>
      <c r="BL103" s="383">
        <f t="shared" si="162"/>
        <v>0</v>
      </c>
      <c r="BM103" s="383">
        <f t="shared" si="163"/>
        <v>0</v>
      </c>
      <c r="BN103" s="383">
        <f t="shared" si="164"/>
        <v>0</v>
      </c>
      <c r="BO103" s="383">
        <f t="shared" si="165"/>
        <v>0</v>
      </c>
      <c r="BP103" s="383">
        <f t="shared" si="166"/>
        <v>0</v>
      </c>
      <c r="BQ103" s="383">
        <f t="shared" si="167"/>
        <v>2698</v>
      </c>
      <c r="BR103" s="383">
        <f t="shared" si="168"/>
        <v>0</v>
      </c>
      <c r="BS103" s="383">
        <f t="shared" si="169"/>
        <v>0</v>
      </c>
    </row>
    <row r="104" spans="1:71" ht="11.25">
      <c r="A104" s="60"/>
      <c r="B104" s="405"/>
      <c r="C104" s="406" t="s">
        <v>72</v>
      </c>
      <c r="D104" s="382" t="s">
        <v>182</v>
      </c>
      <c r="E104" s="383">
        <f>IF(ISERROR(VLOOKUP(C104,'CA Level'!$B$92:$D$108,3,FALSE)),0,VLOOKUP(C104,'CA Level'!$B$92:$D$108,3,FALSE))</f>
        <v>486.4817892980806</v>
      </c>
      <c r="F104" s="383">
        <v>549.1529</v>
      </c>
      <c r="G104" s="397">
        <f t="shared" si="132"/>
        <v>62.67111070191942</v>
      </c>
      <c r="H104" s="398">
        <f t="shared" si="133"/>
        <v>0.12882519362614644</v>
      </c>
      <c r="I104" s="417"/>
      <c r="J104" s="415"/>
      <c r="K104" s="46"/>
      <c r="L104" s="388" t="s">
        <v>28</v>
      </c>
      <c r="M104" s="389">
        <f t="shared" si="171"/>
        <v>0</v>
      </c>
      <c r="N104" s="389">
        <f t="shared" si="171"/>
        <v>0</v>
      </c>
      <c r="O104" s="389">
        <f t="shared" si="171"/>
        <v>0</v>
      </c>
      <c r="P104" s="389">
        <f t="shared" si="171"/>
        <v>0</v>
      </c>
      <c r="Q104" s="389">
        <f t="shared" si="171"/>
        <v>0</v>
      </c>
      <c r="R104" s="389">
        <f t="shared" si="172"/>
        <v>1</v>
      </c>
      <c r="S104" s="389">
        <f t="shared" si="172"/>
        <v>0</v>
      </c>
      <c r="T104" s="389">
        <f t="shared" si="172"/>
        <v>0</v>
      </c>
      <c r="U104" s="39">
        <f t="shared" si="134"/>
        <v>0</v>
      </c>
      <c r="W104" s="383">
        <f t="shared" si="135"/>
        <v>0</v>
      </c>
      <c r="X104" s="383">
        <f t="shared" si="136"/>
        <v>0</v>
      </c>
      <c r="Y104" s="383">
        <f t="shared" si="137"/>
        <v>0</v>
      </c>
      <c r="Z104" s="383">
        <f t="shared" si="138"/>
        <v>0</v>
      </c>
      <c r="AA104" s="383">
        <f t="shared" si="139"/>
        <v>0</v>
      </c>
      <c r="AB104" s="383">
        <f t="shared" si="140"/>
        <v>486.4817892980806</v>
      </c>
      <c r="AC104" s="383">
        <f t="shared" si="141"/>
        <v>0</v>
      </c>
      <c r="AD104" s="383">
        <f t="shared" si="142"/>
        <v>0</v>
      </c>
      <c r="AE104" s="58"/>
      <c r="AF104" s="383"/>
      <c r="AG104" s="383"/>
      <c r="AH104" s="383"/>
      <c r="AI104" s="383"/>
      <c r="AJ104" s="383"/>
      <c r="AK104" s="383"/>
      <c r="AL104" s="383"/>
      <c r="AM104" s="383"/>
      <c r="AP104" s="383">
        <f t="shared" si="146"/>
        <v>0</v>
      </c>
      <c r="AQ104" s="383">
        <f t="shared" si="147"/>
        <v>0</v>
      </c>
      <c r="AR104" s="383">
        <f t="shared" si="148"/>
        <v>0</v>
      </c>
      <c r="AS104" s="383">
        <f t="shared" si="149"/>
        <v>0</v>
      </c>
      <c r="AT104" s="383">
        <f t="shared" si="150"/>
        <v>0</v>
      </c>
      <c r="AU104" s="383">
        <f t="shared" si="151"/>
        <v>549.1529</v>
      </c>
      <c r="AV104" s="383">
        <f t="shared" si="152"/>
        <v>0</v>
      </c>
      <c r="AW104" s="383">
        <f t="shared" si="153"/>
        <v>0</v>
      </c>
      <c r="AX104" s="58"/>
      <c r="AY104" s="383" t="s">
        <v>72</v>
      </c>
      <c r="AZ104" s="383">
        <v>5575.375</v>
      </c>
      <c r="BA104" s="383">
        <f t="shared" si="154"/>
        <v>0</v>
      </c>
      <c r="BB104" s="383">
        <f t="shared" si="155"/>
        <v>0</v>
      </c>
      <c r="BC104" s="383">
        <f t="shared" si="156"/>
        <v>0</v>
      </c>
      <c r="BD104" s="383">
        <f t="shared" si="157"/>
        <v>0</v>
      </c>
      <c r="BE104" s="383">
        <f t="shared" si="158"/>
        <v>0</v>
      </c>
      <c r="BF104" s="383">
        <f t="shared" si="159"/>
        <v>5575.375</v>
      </c>
      <c r="BG104" s="383">
        <f t="shared" si="160"/>
        <v>0</v>
      </c>
      <c r="BH104" s="383">
        <f t="shared" si="161"/>
        <v>0</v>
      </c>
      <c r="BJ104" s="382" t="s">
        <v>72</v>
      </c>
      <c r="BK104" s="383">
        <v>530.5</v>
      </c>
      <c r="BL104" s="383">
        <f t="shared" si="162"/>
        <v>0</v>
      </c>
      <c r="BM104" s="383">
        <f t="shared" si="163"/>
        <v>0</v>
      </c>
      <c r="BN104" s="383">
        <f t="shared" si="164"/>
        <v>0</v>
      </c>
      <c r="BO104" s="383">
        <f t="shared" si="165"/>
        <v>0</v>
      </c>
      <c r="BP104" s="383">
        <f t="shared" si="166"/>
        <v>0</v>
      </c>
      <c r="BQ104" s="383">
        <f t="shared" si="167"/>
        <v>530.5</v>
      </c>
      <c r="BR104" s="383">
        <f t="shared" si="168"/>
        <v>0</v>
      </c>
      <c r="BS104" s="383">
        <f t="shared" si="169"/>
        <v>0</v>
      </c>
    </row>
    <row r="105" spans="1:71" ht="11.25">
      <c r="A105" s="60"/>
      <c r="B105" s="405"/>
      <c r="C105" s="406" t="s">
        <v>71</v>
      </c>
      <c r="D105" s="382" t="s">
        <v>181</v>
      </c>
      <c r="E105" s="383">
        <f>IF(ISERROR(VLOOKUP(C105,'CA Level'!$B$92:$D$108,3,FALSE)),0,VLOOKUP(C105,'CA Level'!$B$92:$D$108,3,FALSE))</f>
        <v>2252.3969290743553</v>
      </c>
      <c r="F105" s="383">
        <v>2576.80872</v>
      </c>
      <c r="G105" s="397">
        <f t="shared" si="132"/>
        <v>324.4117909256447</v>
      </c>
      <c r="H105" s="398">
        <f t="shared" si="133"/>
        <v>0.14402958321336592</v>
      </c>
      <c r="I105" s="417"/>
      <c r="J105" s="415"/>
      <c r="K105" s="46"/>
      <c r="L105" s="388" t="s">
        <v>28</v>
      </c>
      <c r="M105" s="389">
        <f aca="true" t="shared" si="173" ref="M105:Q113">IF($L105=M$22,1,0)</f>
        <v>0</v>
      </c>
      <c r="N105" s="389">
        <f t="shared" si="173"/>
        <v>0</v>
      </c>
      <c r="O105" s="389">
        <f t="shared" si="173"/>
        <v>0</v>
      </c>
      <c r="P105" s="389">
        <f t="shared" si="173"/>
        <v>0</v>
      </c>
      <c r="Q105" s="389">
        <f t="shared" si="173"/>
        <v>0</v>
      </c>
      <c r="R105" s="389">
        <f t="shared" si="172"/>
        <v>1</v>
      </c>
      <c r="S105" s="389">
        <f t="shared" si="172"/>
        <v>0</v>
      </c>
      <c r="T105" s="389">
        <f t="shared" si="172"/>
        <v>0</v>
      </c>
      <c r="U105" s="39">
        <f t="shared" si="134"/>
        <v>0</v>
      </c>
      <c r="W105" s="383">
        <f t="shared" si="135"/>
        <v>0</v>
      </c>
      <c r="X105" s="383">
        <f t="shared" si="136"/>
        <v>0</v>
      </c>
      <c r="Y105" s="383">
        <f t="shared" si="137"/>
        <v>0</v>
      </c>
      <c r="Z105" s="383">
        <f t="shared" si="138"/>
        <v>0</v>
      </c>
      <c r="AA105" s="383">
        <f t="shared" si="139"/>
        <v>0</v>
      </c>
      <c r="AB105" s="383">
        <f t="shared" si="140"/>
        <v>2252.3969290743553</v>
      </c>
      <c r="AC105" s="383">
        <f t="shared" si="141"/>
        <v>0</v>
      </c>
      <c r="AD105" s="383">
        <f t="shared" si="142"/>
        <v>0</v>
      </c>
      <c r="AE105" s="58"/>
      <c r="AF105" s="383"/>
      <c r="AG105" s="383"/>
      <c r="AH105" s="383"/>
      <c r="AI105" s="383"/>
      <c r="AJ105" s="383"/>
      <c r="AK105" s="383"/>
      <c r="AL105" s="383"/>
      <c r="AM105" s="383"/>
      <c r="AP105" s="383">
        <f t="shared" si="146"/>
        <v>0</v>
      </c>
      <c r="AQ105" s="383">
        <f t="shared" si="147"/>
        <v>0</v>
      </c>
      <c r="AR105" s="383">
        <f t="shared" si="148"/>
        <v>0</v>
      </c>
      <c r="AS105" s="383">
        <f t="shared" si="149"/>
        <v>0</v>
      </c>
      <c r="AT105" s="383">
        <f t="shared" si="150"/>
        <v>0</v>
      </c>
      <c r="AU105" s="383">
        <f t="shared" si="151"/>
        <v>2576.80872</v>
      </c>
      <c r="AV105" s="383">
        <f t="shared" si="152"/>
        <v>0</v>
      </c>
      <c r="AW105" s="383">
        <f t="shared" si="153"/>
        <v>0</v>
      </c>
      <c r="AX105" s="58"/>
      <c r="AY105" s="383"/>
      <c r="AZ105" s="383"/>
      <c r="BA105" s="383">
        <f t="shared" si="154"/>
        <v>0</v>
      </c>
      <c r="BB105" s="383">
        <f t="shared" si="155"/>
        <v>0</v>
      </c>
      <c r="BC105" s="383">
        <f t="shared" si="156"/>
        <v>0</v>
      </c>
      <c r="BD105" s="383">
        <f t="shared" si="157"/>
        <v>0</v>
      </c>
      <c r="BE105" s="383">
        <f t="shared" si="158"/>
        <v>0</v>
      </c>
      <c r="BF105" s="383">
        <f t="shared" si="159"/>
        <v>0</v>
      </c>
      <c r="BG105" s="383">
        <f t="shared" si="160"/>
        <v>0</v>
      </c>
      <c r="BH105" s="383">
        <f t="shared" si="161"/>
        <v>0</v>
      </c>
      <c r="BJ105" s="382" t="s">
        <v>71</v>
      </c>
      <c r="BK105" s="383">
        <v>2456.2</v>
      </c>
      <c r="BL105" s="383">
        <f t="shared" si="162"/>
        <v>0</v>
      </c>
      <c r="BM105" s="383">
        <f t="shared" si="163"/>
        <v>0</v>
      </c>
      <c r="BN105" s="383">
        <f t="shared" si="164"/>
        <v>0</v>
      </c>
      <c r="BO105" s="383">
        <f t="shared" si="165"/>
        <v>0</v>
      </c>
      <c r="BP105" s="383">
        <f t="shared" si="166"/>
        <v>0</v>
      </c>
      <c r="BQ105" s="383">
        <f t="shared" si="167"/>
        <v>2456.2</v>
      </c>
      <c r="BR105" s="383">
        <f t="shared" si="168"/>
        <v>0</v>
      </c>
      <c r="BS105" s="383">
        <f t="shared" si="169"/>
        <v>0</v>
      </c>
    </row>
    <row r="106" spans="1:71" ht="11.25">
      <c r="A106" s="60"/>
      <c r="B106" s="405"/>
      <c r="C106" s="406" t="s">
        <v>70</v>
      </c>
      <c r="D106" s="382" t="s">
        <v>180</v>
      </c>
      <c r="E106" s="383">
        <f>IF(ISERROR(VLOOKUP(C106,'CA Level'!$B$92:$D$108,3,FALSE)),0,VLOOKUP(C106,'CA Level'!$B$92:$D$108,3,FALSE))</f>
        <v>2479.360629076759</v>
      </c>
      <c r="F106" s="383">
        <v>2901</v>
      </c>
      <c r="G106" s="397">
        <f t="shared" si="132"/>
        <v>421.63937092324113</v>
      </c>
      <c r="H106" s="398">
        <f t="shared" si="133"/>
        <v>0.17005971861392638</v>
      </c>
      <c r="I106" s="417"/>
      <c r="J106" s="415"/>
      <c r="K106" s="46"/>
      <c r="L106" s="388" t="s">
        <v>28</v>
      </c>
      <c r="M106" s="389">
        <f t="shared" si="173"/>
        <v>0</v>
      </c>
      <c r="N106" s="389">
        <f t="shared" si="173"/>
        <v>0</v>
      </c>
      <c r="O106" s="389">
        <f t="shared" si="173"/>
        <v>0</v>
      </c>
      <c r="P106" s="389">
        <f t="shared" si="173"/>
        <v>0</v>
      </c>
      <c r="Q106" s="389">
        <f t="shared" si="173"/>
        <v>0</v>
      </c>
      <c r="R106" s="389">
        <f t="shared" si="172"/>
        <v>1</v>
      </c>
      <c r="S106" s="389">
        <f t="shared" si="172"/>
        <v>0</v>
      </c>
      <c r="T106" s="389">
        <f t="shared" si="172"/>
        <v>0</v>
      </c>
      <c r="U106" s="39">
        <f t="shared" si="134"/>
        <v>0</v>
      </c>
      <c r="W106" s="383">
        <f t="shared" si="135"/>
        <v>0</v>
      </c>
      <c r="X106" s="383">
        <f t="shared" si="136"/>
        <v>0</v>
      </c>
      <c r="Y106" s="383">
        <f t="shared" si="137"/>
        <v>0</v>
      </c>
      <c r="Z106" s="383">
        <f t="shared" si="138"/>
        <v>0</v>
      </c>
      <c r="AA106" s="383">
        <f t="shared" si="139"/>
        <v>0</v>
      </c>
      <c r="AB106" s="383">
        <f t="shared" si="140"/>
        <v>2479.360629076759</v>
      </c>
      <c r="AC106" s="383">
        <f t="shared" si="141"/>
        <v>0</v>
      </c>
      <c r="AD106" s="383">
        <f t="shared" si="142"/>
        <v>0</v>
      </c>
      <c r="AE106" s="58"/>
      <c r="AF106" s="383"/>
      <c r="AG106" s="383"/>
      <c r="AH106" s="383"/>
      <c r="AI106" s="383"/>
      <c r="AJ106" s="383"/>
      <c r="AK106" s="383"/>
      <c r="AL106" s="383"/>
      <c r="AM106" s="383"/>
      <c r="AP106" s="383">
        <f t="shared" si="146"/>
        <v>0</v>
      </c>
      <c r="AQ106" s="383">
        <f t="shared" si="147"/>
        <v>0</v>
      </c>
      <c r="AR106" s="383">
        <f t="shared" si="148"/>
        <v>0</v>
      </c>
      <c r="AS106" s="383">
        <f t="shared" si="149"/>
        <v>0</v>
      </c>
      <c r="AT106" s="383">
        <f t="shared" si="150"/>
        <v>0</v>
      </c>
      <c r="AU106" s="383">
        <f t="shared" si="151"/>
        <v>2901</v>
      </c>
      <c r="AV106" s="383">
        <f t="shared" si="152"/>
        <v>0</v>
      </c>
      <c r="AW106" s="383">
        <f t="shared" si="153"/>
        <v>0</v>
      </c>
      <c r="AX106" s="58"/>
      <c r="AY106" s="383"/>
      <c r="AZ106" s="383"/>
      <c r="BA106" s="383">
        <f t="shared" si="154"/>
        <v>0</v>
      </c>
      <c r="BB106" s="383">
        <f t="shared" si="155"/>
        <v>0</v>
      </c>
      <c r="BC106" s="383">
        <f t="shared" si="156"/>
        <v>0</v>
      </c>
      <c r="BD106" s="383">
        <f t="shared" si="157"/>
        <v>0</v>
      </c>
      <c r="BE106" s="383">
        <f t="shared" si="158"/>
        <v>0</v>
      </c>
      <c r="BF106" s="383">
        <f t="shared" si="159"/>
        <v>0</v>
      </c>
      <c r="BG106" s="383">
        <f t="shared" si="160"/>
        <v>0</v>
      </c>
      <c r="BH106" s="383">
        <f t="shared" si="161"/>
        <v>0</v>
      </c>
      <c r="BJ106" s="382" t="s">
        <v>70</v>
      </c>
      <c r="BK106" s="383">
        <v>2703.7</v>
      </c>
      <c r="BL106" s="383">
        <f t="shared" si="162"/>
        <v>0</v>
      </c>
      <c r="BM106" s="383">
        <f t="shared" si="163"/>
        <v>0</v>
      </c>
      <c r="BN106" s="383">
        <f t="shared" si="164"/>
        <v>0</v>
      </c>
      <c r="BO106" s="383">
        <f t="shared" si="165"/>
        <v>0</v>
      </c>
      <c r="BP106" s="383">
        <f t="shared" si="166"/>
        <v>0</v>
      </c>
      <c r="BQ106" s="383">
        <f t="shared" si="167"/>
        <v>2703.7</v>
      </c>
      <c r="BR106" s="383">
        <f t="shared" si="168"/>
        <v>0</v>
      </c>
      <c r="BS106" s="383">
        <f t="shared" si="169"/>
        <v>0</v>
      </c>
    </row>
    <row r="107" spans="1:71" ht="11.25">
      <c r="A107" s="60"/>
      <c r="B107" s="405"/>
      <c r="C107" s="406" t="s">
        <v>69</v>
      </c>
      <c r="D107" s="382" t="s">
        <v>179</v>
      </c>
      <c r="E107" s="383">
        <f>IF(ISERROR(VLOOKUP(C107,'CA Level'!$B$92:$D$108,3,FALSE)),0,VLOOKUP(C107,'CA Level'!$B$92:$D$108,3,FALSE))</f>
        <v>91.7025050514761</v>
      </c>
      <c r="F107" s="383">
        <v>100</v>
      </c>
      <c r="G107" s="397">
        <f t="shared" si="132"/>
        <v>8.297494948523905</v>
      </c>
      <c r="H107" s="398">
        <f t="shared" si="133"/>
        <v>0.09048275119492326</v>
      </c>
      <c r="I107" s="417"/>
      <c r="J107" s="415"/>
      <c r="K107" s="46"/>
      <c r="L107" s="388" t="s">
        <v>28</v>
      </c>
      <c r="M107" s="389">
        <f t="shared" si="173"/>
        <v>0</v>
      </c>
      <c r="N107" s="389">
        <f t="shared" si="173"/>
        <v>0</v>
      </c>
      <c r="O107" s="389">
        <f t="shared" si="173"/>
        <v>0</v>
      </c>
      <c r="P107" s="389">
        <f t="shared" si="173"/>
        <v>0</v>
      </c>
      <c r="Q107" s="389">
        <f t="shared" si="173"/>
        <v>0</v>
      </c>
      <c r="R107" s="389">
        <f t="shared" si="172"/>
        <v>1</v>
      </c>
      <c r="S107" s="389">
        <f t="shared" si="172"/>
        <v>0</v>
      </c>
      <c r="T107" s="389">
        <f t="shared" si="172"/>
        <v>0</v>
      </c>
      <c r="U107" s="39">
        <f t="shared" si="134"/>
        <v>0</v>
      </c>
      <c r="W107" s="383">
        <f t="shared" si="135"/>
        <v>0</v>
      </c>
      <c r="X107" s="383">
        <f t="shared" si="136"/>
        <v>0</v>
      </c>
      <c r="Y107" s="383">
        <f t="shared" si="137"/>
        <v>0</v>
      </c>
      <c r="Z107" s="383">
        <f t="shared" si="138"/>
        <v>0</v>
      </c>
      <c r="AA107" s="383">
        <f t="shared" si="139"/>
        <v>0</v>
      </c>
      <c r="AB107" s="383">
        <f t="shared" si="140"/>
        <v>91.7025050514761</v>
      </c>
      <c r="AC107" s="383">
        <f t="shared" si="141"/>
        <v>0</v>
      </c>
      <c r="AD107" s="383">
        <f t="shared" si="142"/>
        <v>0</v>
      </c>
      <c r="AE107" s="58"/>
      <c r="AF107" s="383"/>
      <c r="AG107" s="383"/>
      <c r="AH107" s="383"/>
      <c r="AI107" s="383"/>
      <c r="AJ107" s="383"/>
      <c r="AK107" s="383"/>
      <c r="AL107" s="383"/>
      <c r="AM107" s="383"/>
      <c r="AP107" s="383">
        <f t="shared" si="146"/>
        <v>0</v>
      </c>
      <c r="AQ107" s="383">
        <f t="shared" si="147"/>
        <v>0</v>
      </c>
      <c r="AR107" s="383">
        <f t="shared" si="148"/>
        <v>0</v>
      </c>
      <c r="AS107" s="383">
        <f t="shared" si="149"/>
        <v>0</v>
      </c>
      <c r="AT107" s="383">
        <f t="shared" si="150"/>
        <v>0</v>
      </c>
      <c r="AU107" s="383">
        <f t="shared" si="151"/>
        <v>100</v>
      </c>
      <c r="AV107" s="383">
        <f t="shared" si="152"/>
        <v>0</v>
      </c>
      <c r="AW107" s="383">
        <f t="shared" si="153"/>
        <v>0</v>
      </c>
      <c r="AX107" s="58"/>
      <c r="AY107" s="383"/>
      <c r="AZ107" s="383"/>
      <c r="BA107" s="383">
        <f t="shared" si="154"/>
        <v>0</v>
      </c>
      <c r="BB107" s="383">
        <f t="shared" si="155"/>
        <v>0</v>
      </c>
      <c r="BC107" s="383">
        <f t="shared" si="156"/>
        <v>0</v>
      </c>
      <c r="BD107" s="383">
        <f t="shared" si="157"/>
        <v>0</v>
      </c>
      <c r="BE107" s="383">
        <f t="shared" si="158"/>
        <v>0</v>
      </c>
      <c r="BF107" s="383">
        <f t="shared" si="159"/>
        <v>0</v>
      </c>
      <c r="BG107" s="383">
        <f t="shared" si="160"/>
        <v>0</v>
      </c>
      <c r="BH107" s="383">
        <f t="shared" si="161"/>
        <v>0</v>
      </c>
      <c r="BJ107" s="382" t="s">
        <v>69</v>
      </c>
      <c r="BK107" s="383">
        <v>100</v>
      </c>
      <c r="BL107" s="383">
        <f t="shared" si="162"/>
        <v>0</v>
      </c>
      <c r="BM107" s="383">
        <f t="shared" si="163"/>
        <v>0</v>
      </c>
      <c r="BN107" s="383">
        <f t="shared" si="164"/>
        <v>0</v>
      </c>
      <c r="BO107" s="383">
        <f t="shared" si="165"/>
        <v>0</v>
      </c>
      <c r="BP107" s="383">
        <f t="shared" si="166"/>
        <v>0</v>
      </c>
      <c r="BQ107" s="383">
        <f t="shared" si="167"/>
        <v>100</v>
      </c>
      <c r="BR107" s="383">
        <f t="shared" si="168"/>
        <v>0</v>
      </c>
      <c r="BS107" s="383">
        <f t="shared" si="169"/>
        <v>0</v>
      </c>
    </row>
    <row r="108" spans="1:71" ht="11.25">
      <c r="A108" s="60"/>
      <c r="B108" s="405"/>
      <c r="C108" s="406" t="s">
        <v>68</v>
      </c>
      <c r="D108" s="382" t="s">
        <v>178</v>
      </c>
      <c r="E108" s="383">
        <f>IF(ISERROR(VLOOKUP(C108,'CA Level'!$B$92:$D$108,3,FALSE)),0,VLOOKUP(C108,'CA Level'!$B$92:$D$108,3,FALSE))</f>
        <v>534.533901945054</v>
      </c>
      <c r="F108" s="383">
        <v>0</v>
      </c>
      <c r="G108" s="397">
        <f t="shared" si="132"/>
        <v>-534.533901945054</v>
      </c>
      <c r="H108" s="398">
        <f t="shared" si="133"/>
        <v>-1</v>
      </c>
      <c r="I108" s="417"/>
      <c r="J108" s="415"/>
      <c r="K108" s="46"/>
      <c r="L108" s="388" t="s">
        <v>28</v>
      </c>
      <c r="M108" s="389">
        <f t="shared" si="173"/>
        <v>0</v>
      </c>
      <c r="N108" s="389">
        <f t="shared" si="173"/>
        <v>0</v>
      </c>
      <c r="O108" s="389">
        <f t="shared" si="173"/>
        <v>0</v>
      </c>
      <c r="P108" s="389">
        <f t="shared" si="173"/>
        <v>0</v>
      </c>
      <c r="Q108" s="389">
        <f t="shared" si="173"/>
        <v>0</v>
      </c>
      <c r="R108" s="389">
        <f t="shared" si="172"/>
        <v>1</v>
      </c>
      <c r="S108" s="389">
        <f t="shared" si="172"/>
        <v>0</v>
      </c>
      <c r="T108" s="389">
        <f t="shared" si="172"/>
        <v>0</v>
      </c>
      <c r="U108" s="39">
        <f t="shared" si="134"/>
        <v>0</v>
      </c>
      <c r="W108" s="383">
        <f t="shared" si="135"/>
        <v>0</v>
      </c>
      <c r="X108" s="383">
        <f t="shared" si="136"/>
        <v>0</v>
      </c>
      <c r="Y108" s="383">
        <f t="shared" si="137"/>
        <v>0</v>
      </c>
      <c r="Z108" s="383">
        <f t="shared" si="138"/>
        <v>0</v>
      </c>
      <c r="AA108" s="383">
        <f t="shared" si="139"/>
        <v>0</v>
      </c>
      <c r="AB108" s="383">
        <f t="shared" si="140"/>
        <v>534.533901945054</v>
      </c>
      <c r="AC108" s="383">
        <f t="shared" si="141"/>
        <v>0</v>
      </c>
      <c r="AD108" s="383">
        <f t="shared" si="142"/>
        <v>0</v>
      </c>
      <c r="AE108" s="58"/>
      <c r="AF108" s="383"/>
      <c r="AG108" s="383"/>
      <c r="AH108" s="383"/>
      <c r="AI108" s="383"/>
      <c r="AJ108" s="383"/>
      <c r="AK108" s="383"/>
      <c r="AL108" s="383"/>
      <c r="AM108" s="383"/>
      <c r="AP108" s="383">
        <f t="shared" si="146"/>
        <v>0</v>
      </c>
      <c r="AQ108" s="383">
        <f t="shared" si="147"/>
        <v>0</v>
      </c>
      <c r="AR108" s="383">
        <f t="shared" si="148"/>
        <v>0</v>
      </c>
      <c r="AS108" s="383">
        <f t="shared" si="149"/>
        <v>0</v>
      </c>
      <c r="AT108" s="383">
        <f t="shared" si="150"/>
        <v>0</v>
      </c>
      <c r="AU108" s="383">
        <f t="shared" si="151"/>
        <v>0</v>
      </c>
      <c r="AV108" s="383">
        <f t="shared" si="152"/>
        <v>0</v>
      </c>
      <c r="AW108" s="383">
        <f t="shared" si="153"/>
        <v>0</v>
      </c>
      <c r="AX108" s="58"/>
      <c r="AY108" s="383"/>
      <c r="AZ108" s="383"/>
      <c r="BA108" s="383">
        <f t="shared" si="154"/>
        <v>0</v>
      </c>
      <c r="BB108" s="383">
        <f t="shared" si="155"/>
        <v>0</v>
      </c>
      <c r="BC108" s="383">
        <f t="shared" si="156"/>
        <v>0</v>
      </c>
      <c r="BD108" s="383">
        <f t="shared" si="157"/>
        <v>0</v>
      </c>
      <c r="BE108" s="383">
        <f t="shared" si="158"/>
        <v>0</v>
      </c>
      <c r="BF108" s="383">
        <f t="shared" si="159"/>
        <v>0</v>
      </c>
      <c r="BG108" s="383">
        <f t="shared" si="160"/>
        <v>0</v>
      </c>
      <c r="BH108" s="383">
        <f t="shared" si="161"/>
        <v>0</v>
      </c>
      <c r="BJ108" s="382" t="s">
        <v>68</v>
      </c>
      <c r="BK108" s="383">
        <v>582.9</v>
      </c>
      <c r="BL108" s="383">
        <f t="shared" si="162"/>
        <v>0</v>
      </c>
      <c r="BM108" s="383">
        <f t="shared" si="163"/>
        <v>0</v>
      </c>
      <c r="BN108" s="383">
        <f t="shared" si="164"/>
        <v>0</v>
      </c>
      <c r="BO108" s="383">
        <f t="shared" si="165"/>
        <v>0</v>
      </c>
      <c r="BP108" s="383">
        <f t="shared" si="166"/>
        <v>0</v>
      </c>
      <c r="BQ108" s="383">
        <f t="shared" si="167"/>
        <v>582.9</v>
      </c>
      <c r="BR108" s="383">
        <f t="shared" si="168"/>
        <v>0</v>
      </c>
      <c r="BS108" s="383">
        <f t="shared" si="169"/>
        <v>0</v>
      </c>
    </row>
    <row r="109" spans="1:71" ht="11.25">
      <c r="A109" s="60"/>
      <c r="B109" s="405"/>
      <c r="C109" s="406" t="s">
        <v>67</v>
      </c>
      <c r="D109" s="382" t="s">
        <v>177</v>
      </c>
      <c r="E109" s="383">
        <f>IF(ISERROR(VLOOKUP(C109,'CA Level'!$B$92:$D$108,3,FALSE)),0,VLOOKUP(C109,'CA Level'!$B$92:$D$108,3,FALSE))</f>
        <v>0</v>
      </c>
      <c r="F109" s="383">
        <v>3534</v>
      </c>
      <c r="G109" s="397">
        <f t="shared" si="132"/>
        <v>3534</v>
      </c>
      <c r="H109" s="398" t="str">
        <f t="shared" si="133"/>
        <v>'NA'</v>
      </c>
      <c r="I109" s="417"/>
      <c r="J109" s="415"/>
      <c r="K109" s="46"/>
      <c r="L109" s="388" t="s">
        <v>28</v>
      </c>
      <c r="M109" s="389">
        <f t="shared" si="173"/>
        <v>0</v>
      </c>
      <c r="N109" s="389">
        <f t="shared" si="173"/>
        <v>0</v>
      </c>
      <c r="O109" s="389">
        <f t="shared" si="173"/>
        <v>0</v>
      </c>
      <c r="P109" s="389">
        <f t="shared" si="173"/>
        <v>0</v>
      </c>
      <c r="Q109" s="389">
        <f t="shared" si="173"/>
        <v>0</v>
      </c>
      <c r="R109" s="389">
        <f t="shared" si="172"/>
        <v>1</v>
      </c>
      <c r="S109" s="389">
        <f t="shared" si="172"/>
        <v>0</v>
      </c>
      <c r="T109" s="389">
        <f t="shared" si="172"/>
        <v>0</v>
      </c>
      <c r="U109" s="39">
        <f t="shared" si="134"/>
        <v>0</v>
      </c>
      <c r="W109" s="383">
        <f t="shared" si="135"/>
        <v>0</v>
      </c>
      <c r="X109" s="383">
        <f t="shared" si="136"/>
        <v>0</v>
      </c>
      <c r="Y109" s="383">
        <f t="shared" si="137"/>
        <v>0</v>
      </c>
      <c r="Z109" s="383">
        <f t="shared" si="138"/>
        <v>0</v>
      </c>
      <c r="AA109" s="383">
        <f t="shared" si="139"/>
        <v>0</v>
      </c>
      <c r="AB109" s="383">
        <f t="shared" si="140"/>
        <v>0</v>
      </c>
      <c r="AC109" s="383">
        <f t="shared" si="141"/>
        <v>0</v>
      </c>
      <c r="AD109" s="383">
        <f t="shared" si="142"/>
        <v>0</v>
      </c>
      <c r="AE109" s="58"/>
      <c r="AF109" s="383"/>
      <c r="AG109" s="383"/>
      <c r="AH109" s="383"/>
      <c r="AI109" s="383"/>
      <c r="AJ109" s="383"/>
      <c r="AK109" s="383"/>
      <c r="AL109" s="383"/>
      <c r="AM109" s="383"/>
      <c r="AP109" s="383">
        <f t="shared" si="146"/>
        <v>0</v>
      </c>
      <c r="AQ109" s="383">
        <f t="shared" si="147"/>
        <v>0</v>
      </c>
      <c r="AR109" s="383">
        <f t="shared" si="148"/>
        <v>0</v>
      </c>
      <c r="AS109" s="383">
        <f t="shared" si="149"/>
        <v>0</v>
      </c>
      <c r="AT109" s="383">
        <f t="shared" si="150"/>
        <v>0</v>
      </c>
      <c r="AU109" s="383">
        <f t="shared" si="151"/>
        <v>3534</v>
      </c>
      <c r="AV109" s="383">
        <f t="shared" si="152"/>
        <v>0</v>
      </c>
      <c r="AW109" s="383">
        <f t="shared" si="153"/>
        <v>0</v>
      </c>
      <c r="AX109" s="58"/>
      <c r="AY109" s="383"/>
      <c r="AZ109" s="383"/>
      <c r="BA109" s="383">
        <f t="shared" si="154"/>
        <v>0</v>
      </c>
      <c r="BB109" s="383">
        <f t="shared" si="155"/>
        <v>0</v>
      </c>
      <c r="BC109" s="383">
        <f t="shared" si="156"/>
        <v>0</v>
      </c>
      <c r="BD109" s="383">
        <f t="shared" si="157"/>
        <v>0</v>
      </c>
      <c r="BE109" s="383">
        <f t="shared" si="158"/>
        <v>0</v>
      </c>
      <c r="BF109" s="383">
        <f t="shared" si="159"/>
        <v>0</v>
      </c>
      <c r="BG109" s="383">
        <f t="shared" si="160"/>
        <v>0</v>
      </c>
      <c r="BH109" s="383">
        <f t="shared" si="161"/>
        <v>0</v>
      </c>
      <c r="BJ109" s="382" t="s">
        <v>67</v>
      </c>
      <c r="BK109" s="383">
        <v>3431</v>
      </c>
      <c r="BL109" s="383">
        <f t="shared" si="162"/>
        <v>0</v>
      </c>
      <c r="BM109" s="383">
        <f t="shared" si="163"/>
        <v>0</v>
      </c>
      <c r="BN109" s="383">
        <f t="shared" si="164"/>
        <v>0</v>
      </c>
      <c r="BO109" s="383">
        <f t="shared" si="165"/>
        <v>0</v>
      </c>
      <c r="BP109" s="383">
        <f t="shared" si="166"/>
        <v>0</v>
      </c>
      <c r="BQ109" s="383">
        <f t="shared" si="167"/>
        <v>3431</v>
      </c>
      <c r="BR109" s="383">
        <f t="shared" si="168"/>
        <v>0</v>
      </c>
      <c r="BS109" s="383">
        <f t="shared" si="169"/>
        <v>0</v>
      </c>
    </row>
    <row r="110" spans="1:71" ht="11.25">
      <c r="A110" s="60"/>
      <c r="B110" s="405"/>
      <c r="C110" s="406" t="s">
        <v>176</v>
      </c>
      <c r="D110" s="382" t="s">
        <v>175</v>
      </c>
      <c r="E110" s="383">
        <f>IF(ISERROR(VLOOKUP(C110,'CA Level'!$B$92:$D$108,3,FALSE)),0,VLOOKUP(C110,'CA Level'!$B$92:$D$108,3,FALSE))</f>
        <v>0</v>
      </c>
      <c r="F110" s="383">
        <v>3015.1</v>
      </c>
      <c r="G110" s="397">
        <f t="shared" si="132"/>
        <v>3015.1</v>
      </c>
      <c r="H110" s="398" t="str">
        <f t="shared" si="133"/>
        <v>'NA'</v>
      </c>
      <c r="I110" s="417"/>
      <c r="J110" s="415"/>
      <c r="K110" s="46"/>
      <c r="L110" s="388" t="s">
        <v>28</v>
      </c>
      <c r="M110" s="389">
        <f t="shared" si="173"/>
        <v>0</v>
      </c>
      <c r="N110" s="389">
        <f t="shared" si="173"/>
        <v>0</v>
      </c>
      <c r="O110" s="389">
        <f t="shared" si="173"/>
        <v>0</v>
      </c>
      <c r="P110" s="389">
        <f t="shared" si="173"/>
        <v>0</v>
      </c>
      <c r="Q110" s="389">
        <f t="shared" si="173"/>
        <v>0</v>
      </c>
      <c r="R110" s="389">
        <f t="shared" si="172"/>
        <v>1</v>
      </c>
      <c r="S110" s="389">
        <f t="shared" si="172"/>
        <v>0</v>
      </c>
      <c r="T110" s="389">
        <f t="shared" si="172"/>
        <v>0</v>
      </c>
      <c r="U110" s="39">
        <f t="shared" si="134"/>
        <v>0</v>
      </c>
      <c r="W110" s="383">
        <f t="shared" si="135"/>
        <v>0</v>
      </c>
      <c r="X110" s="383">
        <f t="shared" si="136"/>
        <v>0</v>
      </c>
      <c r="Y110" s="383">
        <f t="shared" si="137"/>
        <v>0</v>
      </c>
      <c r="Z110" s="383">
        <f t="shared" si="138"/>
        <v>0</v>
      </c>
      <c r="AA110" s="383">
        <f t="shared" si="139"/>
        <v>0</v>
      </c>
      <c r="AB110" s="383">
        <f t="shared" si="140"/>
        <v>0</v>
      </c>
      <c r="AC110" s="383">
        <f t="shared" si="141"/>
        <v>0</v>
      </c>
      <c r="AD110" s="383">
        <f t="shared" si="142"/>
        <v>0</v>
      </c>
      <c r="AE110" s="58"/>
      <c r="AF110" s="383"/>
      <c r="AG110" s="383"/>
      <c r="AH110" s="383"/>
      <c r="AI110" s="383"/>
      <c r="AJ110" s="383"/>
      <c r="AK110" s="383"/>
      <c r="AL110" s="383"/>
      <c r="AM110" s="383"/>
      <c r="AP110" s="383">
        <f t="shared" si="146"/>
        <v>0</v>
      </c>
      <c r="AQ110" s="383">
        <f t="shared" si="147"/>
        <v>0</v>
      </c>
      <c r="AR110" s="383">
        <f t="shared" si="148"/>
        <v>0</v>
      </c>
      <c r="AS110" s="383">
        <f t="shared" si="149"/>
        <v>0</v>
      </c>
      <c r="AT110" s="383">
        <f t="shared" si="150"/>
        <v>0</v>
      </c>
      <c r="AU110" s="383">
        <f t="shared" si="151"/>
        <v>3015.1</v>
      </c>
      <c r="AV110" s="383">
        <f t="shared" si="152"/>
        <v>0</v>
      </c>
      <c r="AW110" s="383">
        <f t="shared" si="153"/>
        <v>0</v>
      </c>
      <c r="AX110" s="58"/>
      <c r="AY110" s="383"/>
      <c r="AZ110" s="383"/>
      <c r="BA110" s="383">
        <f t="shared" si="154"/>
        <v>0</v>
      </c>
      <c r="BB110" s="383">
        <f t="shared" si="155"/>
        <v>0</v>
      </c>
      <c r="BC110" s="383">
        <f t="shared" si="156"/>
        <v>0</v>
      </c>
      <c r="BD110" s="383">
        <f t="shared" si="157"/>
        <v>0</v>
      </c>
      <c r="BE110" s="383">
        <f t="shared" si="158"/>
        <v>0</v>
      </c>
      <c r="BF110" s="383">
        <f t="shared" si="159"/>
        <v>0</v>
      </c>
      <c r="BG110" s="383">
        <f t="shared" si="160"/>
        <v>0</v>
      </c>
      <c r="BH110" s="383">
        <f t="shared" si="161"/>
        <v>0</v>
      </c>
      <c r="BJ110" s="382"/>
      <c r="BK110" s="383"/>
      <c r="BL110" s="383">
        <f t="shared" si="162"/>
        <v>0</v>
      </c>
      <c r="BM110" s="383">
        <f t="shared" si="163"/>
        <v>0</v>
      </c>
      <c r="BN110" s="383">
        <f t="shared" si="164"/>
        <v>0</v>
      </c>
      <c r="BO110" s="383">
        <f t="shared" si="165"/>
        <v>0</v>
      </c>
      <c r="BP110" s="383">
        <f t="shared" si="166"/>
        <v>0</v>
      </c>
      <c r="BQ110" s="383">
        <f t="shared" si="167"/>
        <v>0</v>
      </c>
      <c r="BR110" s="383">
        <f t="shared" si="168"/>
        <v>0</v>
      </c>
      <c r="BS110" s="383">
        <f t="shared" si="169"/>
        <v>0</v>
      </c>
    </row>
    <row r="111" spans="1:71" ht="11.25">
      <c r="A111" s="60"/>
      <c r="B111" s="405"/>
      <c r="C111" s="406" t="s">
        <v>66</v>
      </c>
      <c r="D111" s="382" t="s">
        <v>166</v>
      </c>
      <c r="E111" s="383">
        <f>IF(ISERROR(VLOOKUP(C111,'CA Level'!$B$92:$D$108,3,FALSE)),0,VLOOKUP(C111,'CA Level'!$B$92:$D$108,3,FALSE))</f>
        <v>4950.24</v>
      </c>
      <c r="F111" s="383">
        <v>10</v>
      </c>
      <c r="G111" s="397">
        <f t="shared" si="132"/>
        <v>-4940.24</v>
      </c>
      <c r="H111" s="398">
        <f t="shared" si="133"/>
        <v>-0.997979895924238</v>
      </c>
      <c r="I111" s="417"/>
      <c r="J111" s="415"/>
      <c r="K111" s="46"/>
      <c r="L111" s="388" t="s">
        <v>28</v>
      </c>
      <c r="M111" s="389">
        <f t="shared" si="173"/>
        <v>0</v>
      </c>
      <c r="N111" s="389">
        <f t="shared" si="173"/>
        <v>0</v>
      </c>
      <c r="O111" s="389">
        <f t="shared" si="173"/>
        <v>0</v>
      </c>
      <c r="P111" s="389">
        <f t="shared" si="173"/>
        <v>0</v>
      </c>
      <c r="Q111" s="389">
        <f t="shared" si="173"/>
        <v>0</v>
      </c>
      <c r="R111" s="389">
        <f t="shared" si="172"/>
        <v>1</v>
      </c>
      <c r="S111" s="389">
        <f t="shared" si="172"/>
        <v>0</v>
      </c>
      <c r="T111" s="389">
        <f t="shared" si="172"/>
        <v>0</v>
      </c>
      <c r="U111" s="39">
        <f t="shared" si="134"/>
        <v>0</v>
      </c>
      <c r="W111" s="383">
        <f t="shared" si="135"/>
        <v>0</v>
      </c>
      <c r="X111" s="383">
        <f t="shared" si="136"/>
        <v>0</v>
      </c>
      <c r="Y111" s="383">
        <f t="shared" si="137"/>
        <v>0</v>
      </c>
      <c r="Z111" s="383">
        <f t="shared" si="138"/>
        <v>0</v>
      </c>
      <c r="AA111" s="383">
        <f t="shared" si="139"/>
        <v>0</v>
      </c>
      <c r="AB111" s="383">
        <f t="shared" si="140"/>
        <v>4950.24</v>
      </c>
      <c r="AC111" s="383">
        <f t="shared" si="141"/>
        <v>0</v>
      </c>
      <c r="AD111" s="383">
        <f t="shared" si="142"/>
        <v>0</v>
      </c>
      <c r="AE111" s="58"/>
      <c r="AF111" s="383"/>
      <c r="AG111" s="383"/>
      <c r="AH111" s="383"/>
      <c r="AI111" s="383"/>
      <c r="AJ111" s="383"/>
      <c r="AK111" s="383"/>
      <c r="AL111" s="383"/>
      <c r="AM111" s="383"/>
      <c r="AP111" s="383">
        <f t="shared" si="146"/>
        <v>0</v>
      </c>
      <c r="AQ111" s="383">
        <f t="shared" si="147"/>
        <v>0</v>
      </c>
      <c r="AR111" s="383">
        <f t="shared" si="148"/>
        <v>0</v>
      </c>
      <c r="AS111" s="383">
        <f t="shared" si="149"/>
        <v>0</v>
      </c>
      <c r="AT111" s="383">
        <f t="shared" si="150"/>
        <v>0</v>
      </c>
      <c r="AU111" s="383">
        <f t="shared" si="151"/>
        <v>10</v>
      </c>
      <c r="AV111" s="383">
        <f t="shared" si="152"/>
        <v>0</v>
      </c>
      <c r="AW111" s="383">
        <f t="shared" si="153"/>
        <v>0</v>
      </c>
      <c r="AX111" s="58"/>
      <c r="AY111" s="383" t="s">
        <v>66</v>
      </c>
      <c r="AZ111" s="383">
        <v>3271.8060760000008</v>
      </c>
      <c r="BA111" s="383">
        <f t="shared" si="154"/>
        <v>0</v>
      </c>
      <c r="BB111" s="383">
        <f t="shared" si="155"/>
        <v>0</v>
      </c>
      <c r="BC111" s="383">
        <f t="shared" si="156"/>
        <v>0</v>
      </c>
      <c r="BD111" s="383">
        <f t="shared" si="157"/>
        <v>0</v>
      </c>
      <c r="BE111" s="383">
        <f t="shared" si="158"/>
        <v>0</v>
      </c>
      <c r="BF111" s="383">
        <f t="shared" si="159"/>
        <v>3271.8060760000008</v>
      </c>
      <c r="BG111" s="383">
        <f t="shared" si="160"/>
        <v>0</v>
      </c>
      <c r="BH111" s="383">
        <f t="shared" si="161"/>
        <v>0</v>
      </c>
      <c r="BJ111" s="382" t="s">
        <v>66</v>
      </c>
      <c r="BK111" s="383">
        <v>2443</v>
      </c>
      <c r="BL111" s="383">
        <f t="shared" si="162"/>
        <v>0</v>
      </c>
      <c r="BM111" s="383">
        <f t="shared" si="163"/>
        <v>0</v>
      </c>
      <c r="BN111" s="383">
        <f t="shared" si="164"/>
        <v>0</v>
      </c>
      <c r="BO111" s="383">
        <f t="shared" si="165"/>
        <v>0</v>
      </c>
      <c r="BP111" s="383">
        <f t="shared" si="166"/>
        <v>0</v>
      </c>
      <c r="BQ111" s="383">
        <f t="shared" si="167"/>
        <v>2443</v>
      </c>
      <c r="BR111" s="383">
        <f t="shared" si="168"/>
        <v>0</v>
      </c>
      <c r="BS111" s="383">
        <f t="shared" si="169"/>
        <v>0</v>
      </c>
    </row>
    <row r="112" spans="1:71" ht="11.25">
      <c r="A112" s="60">
        <v>70</v>
      </c>
      <c r="B112" s="405" t="s">
        <v>31</v>
      </c>
      <c r="C112" s="406"/>
      <c r="D112" s="382" t="s">
        <v>31</v>
      </c>
      <c r="E112" s="383">
        <f>IF(ISERROR(VLOOKUP(C112,'CA Level'!$B$92:$D$108,3,FALSE)),0,VLOOKUP(C112,'CA Level'!$B$92:$D$108,3,FALSE))</f>
        <v>0</v>
      </c>
      <c r="F112" s="383">
        <v>1200</v>
      </c>
      <c r="G112" s="397">
        <f t="shared" si="132"/>
        <v>1200</v>
      </c>
      <c r="H112" s="398" t="str">
        <f t="shared" si="133"/>
        <v>'NA'</v>
      </c>
      <c r="I112" s="417"/>
      <c r="J112" s="415"/>
      <c r="K112" s="46"/>
      <c r="L112" s="388" t="s">
        <v>30</v>
      </c>
      <c r="M112" s="389">
        <f t="shared" si="173"/>
        <v>0</v>
      </c>
      <c r="N112" s="389">
        <f t="shared" si="173"/>
        <v>0</v>
      </c>
      <c r="O112" s="389">
        <f t="shared" si="173"/>
        <v>0</v>
      </c>
      <c r="P112" s="389">
        <f t="shared" si="173"/>
        <v>0</v>
      </c>
      <c r="Q112" s="389">
        <f t="shared" si="173"/>
        <v>0</v>
      </c>
      <c r="R112" s="389">
        <f t="shared" si="172"/>
        <v>0</v>
      </c>
      <c r="S112" s="389">
        <f t="shared" si="172"/>
        <v>1</v>
      </c>
      <c r="T112" s="389">
        <f t="shared" si="172"/>
        <v>0</v>
      </c>
      <c r="U112" s="39">
        <f t="shared" si="134"/>
        <v>0</v>
      </c>
      <c r="W112" s="383">
        <f t="shared" si="135"/>
        <v>0</v>
      </c>
      <c r="X112" s="383">
        <f t="shared" si="136"/>
        <v>0</v>
      </c>
      <c r="Y112" s="383">
        <f t="shared" si="137"/>
        <v>0</v>
      </c>
      <c r="Z112" s="383">
        <f t="shared" si="138"/>
        <v>0</v>
      </c>
      <c r="AA112" s="383">
        <f t="shared" si="139"/>
        <v>0</v>
      </c>
      <c r="AB112" s="383">
        <f t="shared" si="140"/>
        <v>0</v>
      </c>
      <c r="AC112" s="383">
        <f t="shared" si="141"/>
        <v>0</v>
      </c>
      <c r="AD112" s="383">
        <f t="shared" si="142"/>
        <v>0</v>
      </c>
      <c r="AE112" s="58"/>
      <c r="AF112" s="383"/>
      <c r="AG112" s="383"/>
      <c r="AH112" s="383"/>
      <c r="AI112" s="383"/>
      <c r="AJ112" s="383"/>
      <c r="AK112" s="383"/>
      <c r="AL112" s="383"/>
      <c r="AM112" s="383"/>
      <c r="AP112" s="383">
        <f t="shared" si="146"/>
        <v>0</v>
      </c>
      <c r="AQ112" s="383">
        <f t="shared" si="147"/>
        <v>0</v>
      </c>
      <c r="AR112" s="383">
        <f t="shared" si="148"/>
        <v>0</v>
      </c>
      <c r="AS112" s="383">
        <f t="shared" si="149"/>
        <v>0</v>
      </c>
      <c r="AT112" s="383">
        <f t="shared" si="150"/>
        <v>0</v>
      </c>
      <c r="AU112" s="383">
        <f t="shared" si="151"/>
        <v>0</v>
      </c>
      <c r="AV112" s="383">
        <f t="shared" si="152"/>
        <v>1200</v>
      </c>
      <c r="AW112" s="383">
        <f t="shared" si="153"/>
        <v>0</v>
      </c>
      <c r="AX112" s="58"/>
      <c r="AY112" s="383"/>
      <c r="AZ112" s="383"/>
      <c r="BA112" s="383">
        <f t="shared" si="154"/>
        <v>0</v>
      </c>
      <c r="BB112" s="383">
        <f t="shared" si="155"/>
        <v>0</v>
      </c>
      <c r="BC112" s="383">
        <f t="shared" si="156"/>
        <v>0</v>
      </c>
      <c r="BD112" s="383">
        <f t="shared" si="157"/>
        <v>0</v>
      </c>
      <c r="BE112" s="383">
        <f t="shared" si="158"/>
        <v>0</v>
      </c>
      <c r="BF112" s="383">
        <f t="shared" si="159"/>
        <v>0</v>
      </c>
      <c r="BG112" s="383">
        <f t="shared" si="160"/>
        <v>0</v>
      </c>
      <c r="BH112" s="383">
        <f t="shared" si="161"/>
        <v>0</v>
      </c>
      <c r="BJ112" s="382"/>
      <c r="BK112" s="383"/>
      <c r="BL112" s="383">
        <f t="shared" si="162"/>
        <v>0</v>
      </c>
      <c r="BM112" s="383">
        <f t="shared" si="163"/>
        <v>0</v>
      </c>
      <c r="BN112" s="383">
        <f t="shared" si="164"/>
        <v>0</v>
      </c>
      <c r="BO112" s="383">
        <f t="shared" si="165"/>
        <v>0</v>
      </c>
      <c r="BP112" s="383">
        <f t="shared" si="166"/>
        <v>0</v>
      </c>
      <c r="BQ112" s="383">
        <f t="shared" si="167"/>
        <v>0</v>
      </c>
      <c r="BR112" s="383">
        <f t="shared" si="168"/>
        <v>0</v>
      </c>
      <c r="BS112" s="383">
        <f t="shared" si="169"/>
        <v>0</v>
      </c>
    </row>
    <row r="113" spans="1:71" ht="11.25">
      <c r="A113" s="60" t="e">
        <f>#REF!</f>
        <v>#REF!</v>
      </c>
      <c r="B113" s="407" t="s">
        <v>165</v>
      </c>
      <c r="C113" s="408" t="s">
        <v>65</v>
      </c>
      <c r="D113" s="384" t="s">
        <v>165</v>
      </c>
      <c r="E113" s="385">
        <f>IF(ISERROR(VLOOKUP(C113,'CA Level'!$B$7:$D$86,3,FALSE)),0,VLOOKUP(C113,'CA Level'!$B$7:$D$86,3,FALSE))</f>
        <v>3203.2699999999995</v>
      </c>
      <c r="F113" s="385">
        <v>6914.282720000001</v>
      </c>
      <c r="G113" s="399">
        <f t="shared" si="132"/>
        <v>3711.0127200000015</v>
      </c>
      <c r="H113" s="400">
        <f t="shared" si="133"/>
        <v>1.1585076250206827</v>
      </c>
      <c r="I113" s="417"/>
      <c r="J113" s="415"/>
      <c r="K113" s="46"/>
      <c r="L113" s="390" t="s">
        <v>32</v>
      </c>
      <c r="M113" s="391">
        <f t="shared" si="173"/>
        <v>0</v>
      </c>
      <c r="N113" s="391">
        <f t="shared" si="173"/>
        <v>0</v>
      </c>
      <c r="O113" s="391">
        <f t="shared" si="173"/>
        <v>0</v>
      </c>
      <c r="P113" s="391">
        <f t="shared" si="173"/>
        <v>0</v>
      </c>
      <c r="Q113" s="391">
        <f t="shared" si="173"/>
        <v>0</v>
      </c>
      <c r="R113" s="391">
        <f t="shared" si="172"/>
        <v>0</v>
      </c>
      <c r="S113" s="391">
        <f t="shared" si="172"/>
        <v>0</v>
      </c>
      <c r="T113" s="391">
        <f t="shared" si="172"/>
        <v>1</v>
      </c>
      <c r="U113" s="39">
        <f t="shared" si="134"/>
        <v>0</v>
      </c>
      <c r="W113" s="385">
        <f t="shared" si="135"/>
        <v>0</v>
      </c>
      <c r="X113" s="385">
        <f t="shared" si="136"/>
        <v>0</v>
      </c>
      <c r="Y113" s="385">
        <f t="shared" si="137"/>
        <v>0</v>
      </c>
      <c r="Z113" s="385">
        <f t="shared" si="138"/>
        <v>0</v>
      </c>
      <c r="AA113" s="385">
        <f t="shared" si="139"/>
        <v>0</v>
      </c>
      <c r="AB113" s="385">
        <f t="shared" si="140"/>
        <v>0</v>
      </c>
      <c r="AC113" s="385">
        <f t="shared" si="141"/>
        <v>0</v>
      </c>
      <c r="AD113" s="385">
        <f t="shared" si="142"/>
        <v>3203.2699999999995</v>
      </c>
      <c r="AE113" s="58"/>
      <c r="AF113" s="385"/>
      <c r="AG113" s="385"/>
      <c r="AH113" s="385"/>
      <c r="AI113" s="385"/>
      <c r="AJ113" s="385"/>
      <c r="AK113" s="385"/>
      <c r="AL113" s="385"/>
      <c r="AM113" s="385"/>
      <c r="AP113" s="385">
        <f t="shared" si="146"/>
        <v>0</v>
      </c>
      <c r="AQ113" s="385">
        <f t="shared" si="147"/>
        <v>0</v>
      </c>
      <c r="AR113" s="385">
        <f t="shared" si="148"/>
        <v>0</v>
      </c>
      <c r="AS113" s="385">
        <f t="shared" si="149"/>
        <v>0</v>
      </c>
      <c r="AT113" s="385">
        <f t="shared" si="150"/>
        <v>0</v>
      </c>
      <c r="AU113" s="385">
        <f t="shared" si="151"/>
        <v>0</v>
      </c>
      <c r="AV113" s="385">
        <f t="shared" si="152"/>
        <v>0</v>
      </c>
      <c r="AW113" s="385">
        <f t="shared" si="153"/>
        <v>6914.282720000001</v>
      </c>
      <c r="AX113" s="58"/>
      <c r="AY113" s="385" t="s">
        <v>65</v>
      </c>
      <c r="AZ113" s="385">
        <v>4939</v>
      </c>
      <c r="BA113" s="385">
        <f t="shared" si="154"/>
        <v>0</v>
      </c>
      <c r="BB113" s="385">
        <f t="shared" si="155"/>
        <v>0</v>
      </c>
      <c r="BC113" s="385">
        <f t="shared" si="156"/>
        <v>0</v>
      </c>
      <c r="BD113" s="385">
        <f t="shared" si="157"/>
        <v>0</v>
      </c>
      <c r="BE113" s="385">
        <f t="shared" si="158"/>
        <v>0</v>
      </c>
      <c r="BF113" s="385">
        <f t="shared" si="159"/>
        <v>0</v>
      </c>
      <c r="BG113" s="385">
        <f t="shared" si="160"/>
        <v>0</v>
      </c>
      <c r="BH113" s="385">
        <f t="shared" si="161"/>
        <v>4939</v>
      </c>
      <c r="BJ113" s="384" t="s">
        <v>65</v>
      </c>
      <c r="BK113" s="385">
        <v>7778</v>
      </c>
      <c r="BL113" s="385">
        <f t="shared" si="162"/>
        <v>0</v>
      </c>
      <c r="BM113" s="385">
        <f t="shared" si="163"/>
        <v>0</v>
      </c>
      <c r="BN113" s="385">
        <f t="shared" si="164"/>
        <v>0</v>
      </c>
      <c r="BO113" s="385">
        <f t="shared" si="165"/>
        <v>0</v>
      </c>
      <c r="BP113" s="385">
        <f t="shared" si="166"/>
        <v>0</v>
      </c>
      <c r="BQ113" s="385">
        <f t="shared" si="167"/>
        <v>0</v>
      </c>
      <c r="BR113" s="385">
        <f t="shared" si="168"/>
        <v>0</v>
      </c>
      <c r="BS113" s="385">
        <f t="shared" si="169"/>
        <v>7778</v>
      </c>
    </row>
    <row r="114" spans="1:72" ht="12.75">
      <c r="A114" s="60"/>
      <c r="B114" s="42"/>
      <c r="C114" s="59"/>
      <c r="E114" s="58"/>
      <c r="F114" s="58"/>
      <c r="G114" s="41"/>
      <c r="H114" s="46"/>
      <c r="I114" s="46"/>
      <c r="J114" s="46"/>
      <c r="K114" s="46"/>
      <c r="W114" s="56">
        <f aca="true" t="shared" si="174" ref="W114:AD114">SUM(W24:W113)</f>
        <v>3528.127479444</v>
      </c>
      <c r="X114" s="56">
        <f t="shared" si="174"/>
        <v>2352.176656908</v>
      </c>
      <c r="Y114" s="56">
        <f t="shared" si="174"/>
        <v>2807.4272010140003</v>
      </c>
      <c r="Z114" s="56">
        <f t="shared" si="174"/>
        <v>3170.0936110620005</v>
      </c>
      <c r="AA114" s="56">
        <f t="shared" si="174"/>
        <v>3386.042267512</v>
      </c>
      <c r="AB114" s="56">
        <f t="shared" si="174"/>
        <v>58163.94475806</v>
      </c>
      <c r="AC114" s="56">
        <f t="shared" si="174"/>
        <v>0</v>
      </c>
      <c r="AD114" s="56">
        <f t="shared" si="174"/>
        <v>3203.2699999999995</v>
      </c>
      <c r="AE114" s="56"/>
      <c r="AF114" s="56"/>
      <c r="AG114" s="56"/>
      <c r="AH114" s="56"/>
      <c r="AI114" s="56"/>
      <c r="AJ114" s="56"/>
      <c r="AK114" s="56"/>
      <c r="AL114" s="56"/>
      <c r="AM114" s="56"/>
      <c r="AO114" s="55">
        <f>SUM(W114:AD114)</f>
        <v>76611.08197400002</v>
      </c>
      <c r="AP114" s="56">
        <f aca="true" t="shared" si="175" ref="AP114:AW114">SUM(AP24:AP113)</f>
        <v>11000.893467</v>
      </c>
      <c r="AQ114" s="56">
        <f t="shared" si="175"/>
        <v>4193.227715</v>
      </c>
      <c r="AR114" s="56">
        <f t="shared" si="175"/>
        <v>7669.926516400001</v>
      </c>
      <c r="AS114" s="56">
        <f t="shared" si="175"/>
        <v>7068.021251600001</v>
      </c>
      <c r="AT114" s="56">
        <f t="shared" si="175"/>
        <v>3904.1809733000005</v>
      </c>
      <c r="AU114" s="56">
        <f t="shared" si="175"/>
        <v>64198.66444669999</v>
      </c>
      <c r="AV114" s="56">
        <f t="shared" si="175"/>
        <v>1200</v>
      </c>
      <c r="AW114" s="56">
        <f t="shared" si="175"/>
        <v>6914.282720000001</v>
      </c>
      <c r="AX114" s="55">
        <f>SUM(AP114:AW114)</f>
        <v>106149.19708999999</v>
      </c>
      <c r="AY114" s="58"/>
      <c r="AZ114" s="56">
        <f aca="true" t="shared" si="176" ref="AZ114:BH114">SUM(AZ24:AZ113)</f>
        <v>78075.5589</v>
      </c>
      <c r="BA114" s="56">
        <f t="shared" si="176"/>
        <v>4935.26530768</v>
      </c>
      <c r="BB114" s="56">
        <f t="shared" si="176"/>
        <v>3436.1052532000003</v>
      </c>
      <c r="BC114" s="56">
        <f t="shared" si="176"/>
        <v>3177.8227595999997</v>
      </c>
      <c r="BD114" s="56">
        <f t="shared" si="176"/>
        <v>3758.5821089600004</v>
      </c>
      <c r="BE114" s="56">
        <f t="shared" si="176"/>
        <v>3373.73294064</v>
      </c>
      <c r="BF114" s="56">
        <f t="shared" si="176"/>
        <v>54455.05052992</v>
      </c>
      <c r="BG114" s="56">
        <f t="shared" si="176"/>
        <v>0</v>
      </c>
      <c r="BH114" s="56">
        <f t="shared" si="176"/>
        <v>4939</v>
      </c>
      <c r="BI114" s="55">
        <f>SUM(BA114:BH114)-AZ114</f>
        <v>0</v>
      </c>
      <c r="BK114" s="56">
        <f>SUM(BK24:BK113)</f>
        <v>96790.26599999997</v>
      </c>
      <c r="BL114" s="56">
        <f aca="true" t="shared" si="177" ref="BL114:BS114">SUM(BL24:BL113)</f>
        <v>9658.45936</v>
      </c>
      <c r="BM114" s="56">
        <f t="shared" si="177"/>
        <v>4021.3664</v>
      </c>
      <c r="BN114" s="56">
        <f t="shared" si="177"/>
        <v>5380.5491999999995</v>
      </c>
      <c r="BO114" s="56">
        <f t="shared" si="177"/>
        <v>4384.23592</v>
      </c>
      <c r="BP114" s="56">
        <f t="shared" si="177"/>
        <v>3487.65399</v>
      </c>
      <c r="BQ114" s="56">
        <f t="shared" si="177"/>
        <v>62080.00113</v>
      </c>
      <c r="BR114" s="56">
        <f t="shared" si="177"/>
        <v>0</v>
      </c>
      <c r="BS114" s="56">
        <f t="shared" si="177"/>
        <v>7778</v>
      </c>
      <c r="BT114" s="55">
        <f>SUM(BL114:BS114)-BK114</f>
        <v>0</v>
      </c>
    </row>
    <row r="115" spans="1:63" s="52" customFormat="1" ht="11.25">
      <c r="A115" s="60"/>
      <c r="B115" s="42"/>
      <c r="C115" s="59"/>
      <c r="D115" s="42" t="s">
        <v>34</v>
      </c>
      <c r="E115" s="56">
        <f>SUBTOTAL(9,E24:E114)</f>
        <v>76611.08197400002</v>
      </c>
      <c r="F115" s="56">
        <f>SUBTOTAL(9,F24:F114)</f>
        <v>106149.19709000002</v>
      </c>
      <c r="G115" s="56">
        <f>SUBTOTAL(9,G24:G114)</f>
        <v>29538.115115999997</v>
      </c>
      <c r="H115" s="43">
        <f>IF(E115=0,"'NA'",G115/E115)</f>
        <v>0.3855592997110331</v>
      </c>
      <c r="I115" s="43"/>
      <c r="J115" s="43"/>
      <c r="K115" s="43"/>
      <c r="L115" s="40"/>
      <c r="M115" s="38"/>
      <c r="N115" s="38"/>
      <c r="O115" s="38"/>
      <c r="P115" s="38"/>
      <c r="Q115" s="38"/>
      <c r="R115" s="38"/>
      <c r="S115" s="38"/>
      <c r="T115" s="38"/>
      <c r="U115" s="39"/>
      <c r="V115" s="38"/>
      <c r="W115" s="58"/>
      <c r="X115" s="58"/>
      <c r="Y115" s="58"/>
      <c r="Z115" s="58"/>
      <c r="AA115" s="58"/>
      <c r="AB115" s="58"/>
      <c r="AC115" s="58"/>
      <c r="AD115" s="58"/>
      <c r="AE115" s="58"/>
      <c r="AF115" s="58"/>
      <c r="AG115" s="58"/>
      <c r="AH115" s="58"/>
      <c r="AI115" s="58"/>
      <c r="AJ115" s="58"/>
      <c r="AK115" s="58"/>
      <c r="AL115" s="58"/>
      <c r="AM115" s="58"/>
      <c r="AN115" s="39"/>
      <c r="AO115" s="38"/>
      <c r="AP115" s="38"/>
      <c r="AQ115" s="38"/>
      <c r="AR115" s="38"/>
      <c r="AS115" s="38"/>
      <c r="AT115" s="38"/>
      <c r="AU115" s="38"/>
      <c r="AV115" s="38"/>
      <c r="AW115" s="38"/>
      <c r="AX115" s="38"/>
      <c r="AY115" s="58"/>
      <c r="AZ115" s="38"/>
      <c r="BJ115" s="38"/>
      <c r="BK115" s="38"/>
    </row>
    <row r="116" spans="1:51" ht="11.25">
      <c r="A116" s="60"/>
      <c r="B116" s="42"/>
      <c r="C116" s="59"/>
      <c r="D116" s="38" t="s">
        <v>776</v>
      </c>
      <c r="E116" s="412">
        <f>E115-'CA Level'!D111</f>
        <v>0</v>
      </c>
      <c r="F116" s="412"/>
      <c r="G116" s="41"/>
      <c r="H116" s="46"/>
      <c r="I116" s="46"/>
      <c r="J116" s="46"/>
      <c r="K116" s="46"/>
      <c r="V116" s="42" t="s">
        <v>64</v>
      </c>
      <c r="W116" s="51">
        <f aca="true" t="shared" si="178" ref="W116:AD116">W114/$AO114</f>
        <v>0.04605244291734925</v>
      </c>
      <c r="X116" s="51">
        <f t="shared" si="178"/>
        <v>0.030702825182736267</v>
      </c>
      <c r="Y116" s="51">
        <f t="shared" si="178"/>
        <v>0.0366451840735884</v>
      </c>
      <c r="Z116" s="51">
        <f t="shared" si="178"/>
        <v>0.04137904764401911</v>
      </c>
      <c r="AA116" s="51">
        <f t="shared" si="178"/>
        <v>0.04419781290468058</v>
      </c>
      <c r="AB116" s="51">
        <f t="shared" si="178"/>
        <v>0.7592105901571716</v>
      </c>
      <c r="AC116" s="51">
        <f t="shared" si="178"/>
        <v>0</v>
      </c>
      <c r="AD116" s="51">
        <f t="shared" si="178"/>
        <v>0.04181209712045463</v>
      </c>
      <c r="AE116" s="51"/>
      <c r="AF116" s="51"/>
      <c r="AG116" s="51"/>
      <c r="AH116" s="51"/>
      <c r="AI116" s="51"/>
      <c r="AJ116" s="51"/>
      <c r="AK116" s="51"/>
      <c r="AL116" s="51"/>
      <c r="AM116" s="51"/>
      <c r="AP116" s="51">
        <f aca="true" t="shared" si="179" ref="AP116:AW116">AP114/$AX114</f>
        <v>0.1036361439236582</v>
      </c>
      <c r="AQ116" s="51">
        <f t="shared" si="179"/>
        <v>0.039503150564998785</v>
      </c>
      <c r="AR116" s="51">
        <f t="shared" si="179"/>
        <v>0.07225609544551669</v>
      </c>
      <c r="AS116" s="51">
        <f t="shared" si="179"/>
        <v>0.06658572504893548</v>
      </c>
      <c r="AT116" s="51">
        <f t="shared" si="179"/>
        <v>0.036780127220272706</v>
      </c>
      <c r="AU116" s="51">
        <f t="shared" si="179"/>
        <v>0.6047965147797426</v>
      </c>
      <c r="AV116" s="51">
        <f t="shared" si="179"/>
        <v>0.011304842927663074</v>
      </c>
      <c r="AW116" s="51">
        <f t="shared" si="179"/>
        <v>0.06513740008921251</v>
      </c>
      <c r="AX116" s="51">
        <f>SUM(AP116:AW116)</f>
        <v>1</v>
      </c>
      <c r="AY116" s="58"/>
    </row>
    <row r="117" spans="1:51" ht="11.25">
      <c r="A117" s="60"/>
      <c r="B117" s="42"/>
      <c r="C117" s="59"/>
      <c r="E117" s="58"/>
      <c r="F117" s="58"/>
      <c r="G117" s="41"/>
      <c r="H117" s="46"/>
      <c r="I117" s="46"/>
      <c r="J117" s="46"/>
      <c r="K117" s="46"/>
      <c r="W117" s="58"/>
      <c r="X117" s="58"/>
      <c r="Y117" s="58"/>
      <c r="Z117" s="58"/>
      <c r="AA117" s="58"/>
      <c r="AB117" s="58"/>
      <c r="AC117" s="58"/>
      <c r="AD117" s="58"/>
      <c r="AE117" s="58"/>
      <c r="AF117" s="58"/>
      <c r="AG117" s="58"/>
      <c r="AH117" s="58"/>
      <c r="AI117" s="58"/>
      <c r="AJ117" s="58"/>
      <c r="AK117" s="58"/>
      <c r="AL117" s="58"/>
      <c r="AM117" s="58"/>
      <c r="AY117" s="58"/>
    </row>
    <row r="118" spans="4:63" ht="11.25" hidden="1">
      <c r="D118" s="38" t="s">
        <v>63</v>
      </c>
      <c r="E118" s="41"/>
      <c r="F118" s="41"/>
      <c r="G118" s="41"/>
      <c r="V118" s="38" t="s">
        <v>62</v>
      </c>
      <c r="W118" s="51">
        <v>0.03957323897575194</v>
      </c>
      <c r="X118" s="51">
        <v>0.030976684581317145</v>
      </c>
      <c r="Y118" s="51">
        <v>0.03038978608907053</v>
      </c>
      <c r="Z118" s="51">
        <v>0.029485814405571378</v>
      </c>
      <c r="AA118" s="51">
        <v>0.04760011474155841</v>
      </c>
      <c r="AB118" s="51">
        <v>0.7763876896922102</v>
      </c>
      <c r="AC118" s="51">
        <v>0</v>
      </c>
      <c r="AD118" s="51">
        <v>0.04558667151452031</v>
      </c>
      <c r="AE118" s="51"/>
      <c r="AF118" s="51"/>
      <c r="AG118" s="51"/>
      <c r="AH118" s="51"/>
      <c r="AI118" s="51"/>
      <c r="AJ118" s="51"/>
      <c r="AK118" s="51"/>
      <c r="AL118" s="51"/>
      <c r="AM118" s="51"/>
      <c r="AP118" s="51">
        <v>0.0970882150506044</v>
      </c>
      <c r="AQ118" s="51">
        <v>0.04750010656160851</v>
      </c>
      <c r="AR118" s="51">
        <v>0.05134682650887685</v>
      </c>
      <c r="AS118" s="51">
        <v>0.03022397084404708</v>
      </c>
      <c r="AT118" s="51">
        <v>0.04142222623843019</v>
      </c>
      <c r="AU118" s="51">
        <v>0.6432352493665457</v>
      </c>
      <c r="AV118" s="51">
        <v>0.013189100036172347</v>
      </c>
      <c r="AW118" s="51">
        <v>0.07599430539371488</v>
      </c>
      <c r="AX118" s="51"/>
      <c r="AY118" s="58"/>
      <c r="BJ118" s="52"/>
      <c r="BK118" s="52"/>
    </row>
    <row r="119" spans="3:51" ht="22.5" hidden="1">
      <c r="C119" s="44" t="s">
        <v>61</v>
      </c>
      <c r="D119" s="42" t="str">
        <f>D5</f>
        <v>Overspend Category</v>
      </c>
      <c r="E119" s="45" t="str">
        <f>E5</f>
        <v>PAD Budget</v>
      </c>
      <c r="F119" s="45" t="str">
        <f>F5</f>
        <v>Actual</v>
      </c>
      <c r="G119" s="44" t="str">
        <f>G5</f>
        <v>Variance</v>
      </c>
      <c r="H119" s="45" t="str">
        <f>H5</f>
        <v>Percent Change</v>
      </c>
      <c r="I119" s="45"/>
      <c r="J119" s="45"/>
      <c r="K119" s="45"/>
      <c r="AY119" s="58"/>
    </row>
    <row r="120" spans="3:51" ht="11.25" hidden="1">
      <c r="C120" s="40" t="str">
        <f aca="true" t="shared" si="180" ref="C120:D127">C6</f>
        <v>A</v>
      </c>
      <c r="D120" s="38" t="str">
        <f t="shared" si="180"/>
        <v>Enabling Works Civil General</v>
      </c>
      <c r="E120" s="57">
        <f aca="true" t="shared" si="181" ref="E120:G128">E6/1000</f>
        <v>3.528127479444</v>
      </c>
      <c r="F120" s="57">
        <f t="shared" si="181"/>
        <v>11.000893467</v>
      </c>
      <c r="G120" s="57">
        <f t="shared" si="181"/>
        <v>7.472765987556</v>
      </c>
      <c r="H120" s="46">
        <f aca="true" t="shared" si="182" ref="H120:H128">H6</f>
        <v>2.118054415860744</v>
      </c>
      <c r="I120" s="46"/>
      <c r="J120" s="46"/>
      <c r="K120" s="46"/>
      <c r="AY120" s="58"/>
    </row>
    <row r="121" spans="3:51" ht="11.25" hidden="1">
      <c r="C121" s="40" t="str">
        <f t="shared" si="180"/>
        <v>B</v>
      </c>
      <c r="D121" s="38" t="str">
        <f t="shared" si="180"/>
        <v>Transmission Line Deviations</v>
      </c>
      <c r="E121" s="57">
        <f t="shared" si="181"/>
        <v>2.352176656908</v>
      </c>
      <c r="F121" s="57">
        <f t="shared" si="181"/>
        <v>4.193227715</v>
      </c>
      <c r="G121" s="57">
        <f t="shared" si="181"/>
        <v>1.8410510580919999</v>
      </c>
      <c r="H121" s="46">
        <f t="shared" si="182"/>
        <v>0.7827010155402662</v>
      </c>
      <c r="I121" s="46"/>
      <c r="J121" s="46"/>
      <c r="K121" s="46"/>
      <c r="AY121" s="58"/>
    </row>
    <row r="122" spans="3:51" ht="11.25" hidden="1">
      <c r="C122" s="40" t="str">
        <f t="shared" si="180"/>
        <v>C</v>
      </c>
      <c r="D122" s="38" t="str">
        <f t="shared" si="180"/>
        <v>Enabling Works Secondary Equipment Design &amp; Install</v>
      </c>
      <c r="E122" s="57">
        <f t="shared" si="181"/>
        <v>2.8074272010140002</v>
      </c>
      <c r="F122" s="57">
        <f t="shared" si="181"/>
        <v>7.6699265164</v>
      </c>
      <c r="G122" s="57">
        <f t="shared" si="181"/>
        <v>4.8624993153860006</v>
      </c>
      <c r="H122" s="46">
        <f t="shared" si="182"/>
        <v>1.7320126105602094</v>
      </c>
      <c r="I122" s="46"/>
      <c r="J122" s="46"/>
      <c r="K122" s="46"/>
      <c r="AY122" s="58"/>
    </row>
    <row r="123" spans="3:51" ht="11.25" hidden="1">
      <c r="C123" s="40" t="str">
        <f t="shared" si="180"/>
        <v>D</v>
      </c>
      <c r="D123" s="38" t="str">
        <f t="shared" si="180"/>
        <v>EW Transition Station &amp; Cable Termination Design &amp; Install</v>
      </c>
      <c r="E123" s="57">
        <f t="shared" si="181"/>
        <v>3.1700936110620006</v>
      </c>
      <c r="F123" s="57">
        <f t="shared" si="181"/>
        <v>7.068021251600001</v>
      </c>
      <c r="G123" s="57">
        <f t="shared" si="181"/>
        <v>3.8979276405380006</v>
      </c>
      <c r="H123" s="46">
        <f t="shared" si="182"/>
        <v>1.2295938602368814</v>
      </c>
      <c r="I123" s="46"/>
      <c r="J123" s="46"/>
      <c r="K123" s="46"/>
      <c r="AY123" s="58"/>
    </row>
    <row r="124" spans="3:51" ht="11.25" hidden="1">
      <c r="C124" s="40" t="str">
        <f t="shared" si="180"/>
        <v>E</v>
      </c>
      <c r="D124" s="38" t="str">
        <f t="shared" si="180"/>
        <v>Enabling Works Procurement</v>
      </c>
      <c r="E124" s="57">
        <f t="shared" si="181"/>
        <v>3.386042267512</v>
      </c>
      <c r="F124" s="57">
        <f t="shared" si="181"/>
        <v>3.9041809733000004</v>
      </c>
      <c r="G124" s="57">
        <f t="shared" si="181"/>
        <v>0.5181387057880006</v>
      </c>
      <c r="H124" s="46">
        <f t="shared" si="182"/>
        <v>0.1530219249651361</v>
      </c>
      <c r="I124" s="46"/>
      <c r="J124" s="46"/>
      <c r="K124" s="46"/>
      <c r="AY124" s="58"/>
    </row>
    <row r="125" spans="3:51" ht="11.25" hidden="1">
      <c r="C125" s="40" t="str">
        <f t="shared" si="180"/>
        <v>F</v>
      </c>
      <c r="D125" s="38" t="str">
        <f t="shared" si="180"/>
        <v>Design Build  GIS/AIS &amp; EHV Cable</v>
      </c>
      <c r="E125" s="57">
        <f t="shared" si="181"/>
        <v>58.163944758060005</v>
      </c>
      <c r="F125" s="57">
        <f t="shared" si="181"/>
        <v>64.1986644467</v>
      </c>
      <c r="G125" s="57">
        <f t="shared" si="181"/>
        <v>6.03471968863999</v>
      </c>
      <c r="H125" s="46">
        <f t="shared" si="182"/>
        <v>0.10375361770495692</v>
      </c>
      <c r="I125" s="46"/>
      <c r="J125" s="46"/>
      <c r="K125" s="46"/>
      <c r="AY125" s="58"/>
    </row>
    <row r="126" spans="3:51" ht="11.25" hidden="1">
      <c r="C126" s="40" t="str">
        <f t="shared" si="180"/>
        <v>G</v>
      </c>
      <c r="D126" s="38" t="str">
        <f t="shared" si="180"/>
        <v>Land Easement</v>
      </c>
      <c r="E126" s="57">
        <f t="shared" si="181"/>
        <v>0</v>
      </c>
      <c r="F126" s="57">
        <f t="shared" si="181"/>
        <v>1.2</v>
      </c>
      <c r="G126" s="57">
        <f t="shared" si="181"/>
        <v>1.2</v>
      </c>
      <c r="H126" s="46" t="str">
        <f t="shared" si="182"/>
        <v>'NA'</v>
      </c>
      <c r="I126" s="46"/>
      <c r="J126" s="46"/>
      <c r="K126" s="46"/>
      <c r="AY126" s="58"/>
    </row>
    <row r="127" spans="3:52" ht="12.75" hidden="1">
      <c r="C127" s="40" t="str">
        <f t="shared" si="180"/>
        <v>H</v>
      </c>
      <c r="D127" s="38" t="str">
        <f t="shared" si="180"/>
        <v>Interest During Construction</v>
      </c>
      <c r="E127" s="57">
        <f t="shared" si="181"/>
        <v>3.2032699999999994</v>
      </c>
      <c r="F127" s="57">
        <f t="shared" si="181"/>
        <v>6.914282720000001</v>
      </c>
      <c r="G127" s="57">
        <f t="shared" si="181"/>
        <v>3.7110127200000016</v>
      </c>
      <c r="H127" s="46">
        <f t="shared" si="182"/>
        <v>1.1585076250206827</v>
      </c>
      <c r="I127" s="46"/>
      <c r="J127" s="46"/>
      <c r="K127" s="46"/>
      <c r="AY127" s="56"/>
      <c r="AZ127" s="55"/>
    </row>
    <row r="128" spans="3:11" ht="11.25" hidden="1">
      <c r="C128" s="40"/>
      <c r="D128" s="42" t="str">
        <f>D14</f>
        <v>TOTAL</v>
      </c>
      <c r="E128" s="54">
        <f t="shared" si="181"/>
        <v>76.61108197400002</v>
      </c>
      <c r="F128" s="54">
        <f t="shared" si="181"/>
        <v>106.14919708999999</v>
      </c>
      <c r="G128" s="54">
        <f t="shared" si="181"/>
        <v>29.538115115999997</v>
      </c>
      <c r="H128" s="43">
        <f t="shared" si="182"/>
        <v>0.3855592997110331</v>
      </c>
      <c r="I128" s="43"/>
      <c r="J128" s="43"/>
      <c r="K128" s="43"/>
    </row>
    <row r="129" spans="5:52" ht="11.25" hidden="1">
      <c r="E129" s="53"/>
      <c r="F129" s="53"/>
      <c r="G129" s="53"/>
      <c r="AY129" s="51"/>
      <c r="AZ129" s="51"/>
    </row>
    <row r="130" spans="4:11" ht="11.25" hidden="1">
      <c r="D130" s="38" t="str">
        <f>D16</f>
        <v>Enabling Works Design &amp; Install Subtotal</v>
      </c>
      <c r="E130" s="53">
        <f aca="true" t="shared" si="183" ref="E130:G131">E16/1000</f>
        <v>11.857824948428</v>
      </c>
      <c r="F130" s="53">
        <f t="shared" si="183"/>
        <v>29.93206895</v>
      </c>
      <c r="G130" s="53">
        <f t="shared" si="183"/>
        <v>18.074244001571998</v>
      </c>
      <c r="H130" s="46">
        <f>H16</f>
        <v>1.5242461480229654</v>
      </c>
      <c r="I130" s="46"/>
      <c r="J130" s="46"/>
      <c r="K130" s="46"/>
    </row>
    <row r="131" spans="4:52" ht="11.25" hidden="1">
      <c r="D131" s="38" t="str">
        <f>D17</f>
        <v>EW Procure &amp; DB Works Subtotal</v>
      </c>
      <c r="E131" s="53">
        <f t="shared" si="183"/>
        <v>61.549987025572</v>
      </c>
      <c r="F131" s="53">
        <f t="shared" si="183"/>
        <v>68.10284542</v>
      </c>
      <c r="G131" s="53">
        <f t="shared" si="183"/>
        <v>6.552858394427997</v>
      </c>
      <c r="H131" s="46">
        <f>H17</f>
        <v>0.10646400935398245</v>
      </c>
      <c r="I131" s="46"/>
      <c r="J131" s="46"/>
      <c r="K131" s="46"/>
      <c r="AY131" s="52"/>
      <c r="AZ131" s="52"/>
    </row>
    <row r="132" ht="11.25" hidden="1"/>
    <row r="133" spans="5:51" ht="11.25">
      <c r="E133" s="41"/>
      <c r="F133" s="41"/>
      <c r="G133" s="41"/>
      <c r="AY133" s="51"/>
    </row>
    <row r="134" spans="3:19" ht="11.25">
      <c r="C134" s="50" t="str">
        <f>C123</f>
        <v>D</v>
      </c>
      <c r="D134" s="42" t="str">
        <f>D123</f>
        <v>EW Transition Station &amp; Cable Termination Design &amp; Install</v>
      </c>
      <c r="E134" s="49" t="s">
        <v>60</v>
      </c>
      <c r="F134" s="41"/>
      <c r="G134" s="41"/>
      <c r="S134" s="38" t="s">
        <v>59</v>
      </c>
    </row>
    <row r="135" spans="3:19" ht="11.25">
      <c r="C135" s="48" t="s">
        <v>17</v>
      </c>
      <c r="D135" s="38" t="s">
        <v>58</v>
      </c>
      <c r="E135" s="41">
        <f>E72+E73+E74+E75</f>
        <v>901.55</v>
      </c>
      <c r="F135" s="41">
        <f>F72+F73+F74+F75+L135</f>
        <v>1607.99595</v>
      </c>
      <c r="G135" s="41"/>
      <c r="L135" s="47">
        <f>742-379</f>
        <v>363</v>
      </c>
      <c r="M135" s="47" t="s">
        <v>57</v>
      </c>
      <c r="S135" s="38">
        <v>379</v>
      </c>
    </row>
    <row r="136" spans="3:19" ht="11.25">
      <c r="C136" s="48" t="s">
        <v>56</v>
      </c>
      <c r="D136" s="38" t="s">
        <v>22</v>
      </c>
      <c r="E136" s="41">
        <f>E77+E78+E79+E80+E81+E93*0.8</f>
        <v>1177.1499999999999</v>
      </c>
      <c r="F136" s="41">
        <f>F77+F78+F79+F80+F81+(F93-L135)*0.8*0.85</f>
        <v>2947.6925224</v>
      </c>
      <c r="G136" s="41"/>
      <c r="L136" s="47" t="s">
        <v>55</v>
      </c>
      <c r="S136" s="38">
        <v>0</v>
      </c>
    </row>
    <row r="137" spans="3:19" ht="11.25">
      <c r="C137" s="48" t="s">
        <v>54</v>
      </c>
      <c r="D137" s="38" t="s">
        <v>53</v>
      </c>
      <c r="E137" s="41">
        <f>E76+E89+E93*0.8*0.15</f>
        <v>211.60000000000002</v>
      </c>
      <c r="F137" s="41">
        <f>F76+F89+(F93-742)*0.8*0.15+L137</f>
        <v>737.8644715999999</v>
      </c>
      <c r="G137" s="41"/>
      <c r="L137" s="47">
        <v>-534</v>
      </c>
      <c r="M137" s="38" t="s">
        <v>52</v>
      </c>
      <c r="S137" s="38">
        <v>534</v>
      </c>
    </row>
    <row r="138" spans="3:7" ht="11.25">
      <c r="C138" s="48"/>
      <c r="E138" s="49">
        <f>SUM(E135:E137)</f>
        <v>2290.2999999999997</v>
      </c>
      <c r="F138" s="49">
        <f>SUM(F135:F137)</f>
        <v>5293.552944</v>
      </c>
      <c r="G138" s="41"/>
    </row>
    <row r="139" spans="3:7" ht="11.25">
      <c r="C139" s="48"/>
      <c r="E139" s="41"/>
      <c r="F139" s="41"/>
      <c r="G139" s="41"/>
    </row>
    <row r="140" spans="3:13" ht="11.25">
      <c r="C140" s="48"/>
      <c r="D140" s="42" t="s">
        <v>51</v>
      </c>
      <c r="E140" s="49">
        <f>E9</f>
        <v>3170.0936110620005</v>
      </c>
      <c r="F140" s="49">
        <f>F9</f>
        <v>7068.021251600001</v>
      </c>
      <c r="G140" s="41"/>
      <c r="L140" s="40">
        <f>F140/F138</f>
        <v>1.3352131028766379</v>
      </c>
      <c r="M140" s="38" t="s">
        <v>50</v>
      </c>
    </row>
    <row r="141" spans="3:13" ht="11.25">
      <c r="C141" s="48" t="str">
        <f aca="true" t="shared" si="184" ref="C141:D143">C135</f>
        <v>C</v>
      </c>
      <c r="D141" s="47" t="str">
        <f t="shared" si="184"/>
        <v>Cable Terminations</v>
      </c>
      <c r="E141" s="41">
        <f>E135*E$140/E$138</f>
        <v>1247.8705388171622</v>
      </c>
      <c r="F141" s="41">
        <f aca="true" t="shared" si="185" ref="E141:F143">F135*F$140/F$138</f>
        <v>2147.017261812567</v>
      </c>
      <c r="G141" s="41"/>
      <c r="H141" s="46"/>
      <c r="I141" s="46"/>
      <c r="J141" s="46"/>
      <c r="K141" s="46"/>
      <c r="L141" s="40">
        <f>E140/E138</f>
        <v>1.3841390259188757</v>
      </c>
      <c r="M141" s="38" t="s">
        <v>49</v>
      </c>
    </row>
    <row r="142" spans="3:11" ht="11.25">
      <c r="C142" s="48" t="str">
        <f t="shared" si="184"/>
        <v>T</v>
      </c>
      <c r="D142" s="47" t="str">
        <f t="shared" si="184"/>
        <v>Transition Stations</v>
      </c>
      <c r="E142" s="41">
        <f t="shared" si="185"/>
        <v>1629.3392543604043</v>
      </c>
      <c r="F142" s="41">
        <f t="shared" si="185"/>
        <v>3935.7976791599676</v>
      </c>
      <c r="G142" s="41"/>
      <c r="H142" s="46"/>
      <c r="I142" s="46"/>
      <c r="J142" s="46"/>
      <c r="K142" s="46"/>
    </row>
    <row r="143" spans="3:11" ht="11.25">
      <c r="C143" s="48" t="str">
        <f t="shared" si="184"/>
        <v>S</v>
      </c>
      <c r="D143" s="47" t="str">
        <f t="shared" si="184"/>
        <v>AIS Switchyard Works</v>
      </c>
      <c r="E143" s="41">
        <f t="shared" si="185"/>
        <v>292.8838178844341</v>
      </c>
      <c r="F143" s="41">
        <f t="shared" si="185"/>
        <v>985.2063106274667</v>
      </c>
      <c r="G143" s="41"/>
      <c r="H143" s="46"/>
      <c r="I143" s="46"/>
      <c r="J143" s="46"/>
      <c r="K143" s="46"/>
    </row>
    <row r="144" spans="4:7" ht="11.25">
      <c r="D144" s="38" t="s">
        <v>48</v>
      </c>
      <c r="E144" s="412">
        <f>SUM(E141:E143)-E140</f>
        <v>0</v>
      </c>
      <c r="F144" s="412">
        <f>SUM(F141:F143)-F140</f>
        <v>0</v>
      </c>
      <c r="G144" s="41"/>
    </row>
    <row r="145" spans="5:7" ht="11.25">
      <c r="E145" s="41"/>
      <c r="F145" s="41"/>
      <c r="G145" s="41"/>
    </row>
    <row r="146" spans="5:7" ht="21" customHeight="1">
      <c r="E146" s="41"/>
      <c r="F146" s="41"/>
      <c r="G146" s="41"/>
    </row>
    <row r="147" spans="5:40" ht="11.25">
      <c r="E147" s="41"/>
      <c r="F147" s="41"/>
      <c r="G147" s="41"/>
      <c r="H147" s="38"/>
      <c r="I147" s="38"/>
      <c r="J147" s="38"/>
      <c r="K147" s="38"/>
      <c r="L147" s="38"/>
      <c r="U147" s="38"/>
      <c r="AN147" s="38"/>
    </row>
    <row r="148" spans="5:40" ht="11.25">
      <c r="E148" s="41"/>
      <c r="F148" s="41"/>
      <c r="G148" s="41"/>
      <c r="H148" s="38"/>
      <c r="I148" s="38"/>
      <c r="J148" s="38"/>
      <c r="K148" s="38"/>
      <c r="L148" s="38"/>
      <c r="U148" s="38"/>
      <c r="AN148" s="38"/>
    </row>
    <row r="149" spans="5:40" ht="11.25">
      <c r="E149" s="41"/>
      <c r="F149" s="41"/>
      <c r="G149" s="41"/>
      <c r="H149" s="38"/>
      <c r="I149" s="38"/>
      <c r="J149" s="38"/>
      <c r="K149" s="38"/>
      <c r="L149" s="38"/>
      <c r="U149" s="38"/>
      <c r="AN149" s="38"/>
    </row>
    <row r="150" spans="5:40" ht="11.25">
      <c r="E150" s="41"/>
      <c r="F150" s="41"/>
      <c r="G150" s="41"/>
      <c r="H150" s="38"/>
      <c r="I150" s="38"/>
      <c r="J150" s="38"/>
      <c r="K150" s="38"/>
      <c r="L150" s="38"/>
      <c r="U150" s="38"/>
      <c r="AN150" s="38"/>
    </row>
    <row r="151" spans="5:40" ht="11.25">
      <c r="E151" s="41"/>
      <c r="F151" s="41"/>
      <c r="G151" s="41"/>
      <c r="H151" s="38"/>
      <c r="I151" s="38"/>
      <c r="J151" s="38"/>
      <c r="K151" s="38"/>
      <c r="L151" s="38"/>
      <c r="U151" s="38"/>
      <c r="AN151" s="38"/>
    </row>
    <row r="152" spans="5:40" ht="11.25">
      <c r="E152" s="41"/>
      <c r="F152" s="41"/>
      <c r="G152" s="41"/>
      <c r="H152" s="38"/>
      <c r="I152" s="38"/>
      <c r="J152" s="38"/>
      <c r="K152" s="38"/>
      <c r="L152" s="38"/>
      <c r="U152" s="38"/>
      <c r="AN152" s="38"/>
    </row>
    <row r="153" spans="5:40" ht="11.25">
      <c r="E153" s="41"/>
      <c r="F153" s="41"/>
      <c r="G153" s="41"/>
      <c r="H153" s="38"/>
      <c r="I153" s="38"/>
      <c r="J153" s="38"/>
      <c r="K153" s="38"/>
      <c r="L153" s="38"/>
      <c r="U153" s="38"/>
      <c r="AN153" s="38"/>
    </row>
    <row r="154" spans="5:40" ht="11.25">
      <c r="E154" s="41"/>
      <c r="F154" s="41"/>
      <c r="G154" s="41"/>
      <c r="H154" s="38"/>
      <c r="I154" s="38"/>
      <c r="J154" s="38"/>
      <c r="K154" s="38"/>
      <c r="L154" s="38"/>
      <c r="U154" s="38"/>
      <c r="AN154" s="38"/>
    </row>
    <row r="155" spans="5:40" ht="11.25">
      <c r="E155" s="41"/>
      <c r="F155" s="41"/>
      <c r="G155" s="41"/>
      <c r="H155" s="38"/>
      <c r="I155" s="38"/>
      <c r="J155" s="38"/>
      <c r="K155" s="38"/>
      <c r="L155" s="38"/>
      <c r="U155" s="38"/>
      <c r="AN155" s="38"/>
    </row>
    <row r="156" spans="5:40" ht="11.25">
      <c r="E156" s="41"/>
      <c r="F156" s="41"/>
      <c r="G156" s="41"/>
      <c r="H156" s="38"/>
      <c r="I156" s="38"/>
      <c r="J156" s="38"/>
      <c r="K156" s="38"/>
      <c r="L156" s="38"/>
      <c r="U156" s="38"/>
      <c r="AN156" s="38"/>
    </row>
    <row r="157" spans="5:40" ht="11.25">
      <c r="E157" s="41"/>
      <c r="F157" s="41"/>
      <c r="G157" s="41"/>
      <c r="H157" s="38"/>
      <c r="I157" s="38"/>
      <c r="J157" s="38"/>
      <c r="K157" s="38"/>
      <c r="L157" s="38"/>
      <c r="U157" s="38"/>
      <c r="AN157" s="38"/>
    </row>
    <row r="158" spans="5:40" ht="11.25">
      <c r="E158" s="41"/>
      <c r="F158" s="41"/>
      <c r="G158" s="41"/>
      <c r="H158" s="38"/>
      <c r="I158" s="38"/>
      <c r="J158" s="38"/>
      <c r="K158" s="38"/>
      <c r="L158" s="38"/>
      <c r="U158" s="38"/>
      <c r="AN158" s="38"/>
    </row>
    <row r="159" spans="5:40" ht="11.25">
      <c r="E159" s="41"/>
      <c r="F159" s="41"/>
      <c r="G159" s="41"/>
      <c r="H159" s="38"/>
      <c r="I159" s="38"/>
      <c r="J159" s="38"/>
      <c r="K159" s="38"/>
      <c r="L159" s="38"/>
      <c r="U159" s="38"/>
      <c r="AN159" s="38"/>
    </row>
    <row r="160" spans="5:40" ht="11.25">
      <c r="E160" s="41"/>
      <c r="F160" s="41"/>
      <c r="G160" s="41"/>
      <c r="H160" s="38"/>
      <c r="I160" s="38"/>
      <c r="J160" s="38"/>
      <c r="K160" s="38"/>
      <c r="L160" s="38"/>
      <c r="U160" s="38"/>
      <c r="AN160" s="38"/>
    </row>
    <row r="161" spans="5:40" ht="11.25">
      <c r="E161" s="41"/>
      <c r="F161" s="41"/>
      <c r="G161" s="41"/>
      <c r="H161" s="38"/>
      <c r="I161" s="38"/>
      <c r="J161" s="38"/>
      <c r="K161" s="38"/>
      <c r="L161" s="38"/>
      <c r="U161" s="38"/>
      <c r="AN161" s="38"/>
    </row>
    <row r="162" spans="5:40" ht="11.25">
      <c r="E162" s="41"/>
      <c r="F162" s="41"/>
      <c r="G162" s="41"/>
      <c r="H162" s="38"/>
      <c r="I162" s="38"/>
      <c r="J162" s="38"/>
      <c r="K162" s="38"/>
      <c r="L162" s="38"/>
      <c r="U162" s="38"/>
      <c r="AN162" s="38"/>
    </row>
    <row r="163" spans="5:40" ht="11.25">
      <c r="E163" s="41"/>
      <c r="F163" s="41"/>
      <c r="G163" s="41"/>
      <c r="H163" s="38"/>
      <c r="I163" s="38"/>
      <c r="J163" s="38"/>
      <c r="K163" s="38"/>
      <c r="L163" s="38"/>
      <c r="U163" s="38"/>
      <c r="AN163" s="38"/>
    </row>
    <row r="164" spans="5:40" ht="11.25">
      <c r="E164" s="41"/>
      <c r="F164" s="41"/>
      <c r="G164" s="41"/>
      <c r="H164" s="38"/>
      <c r="I164" s="38"/>
      <c r="J164" s="38"/>
      <c r="K164" s="38"/>
      <c r="L164" s="38"/>
      <c r="U164" s="38"/>
      <c r="AN164" s="38"/>
    </row>
    <row r="165" spans="5:40" ht="11.25">
      <c r="E165" s="41"/>
      <c r="F165" s="41"/>
      <c r="G165" s="41"/>
      <c r="H165" s="38"/>
      <c r="I165" s="38"/>
      <c r="J165" s="38"/>
      <c r="K165" s="38"/>
      <c r="L165" s="38"/>
      <c r="U165" s="38"/>
      <c r="AN165" s="38"/>
    </row>
    <row r="166" spans="5:40" ht="11.25">
      <c r="E166" s="41"/>
      <c r="F166" s="41"/>
      <c r="G166" s="41"/>
      <c r="H166" s="38"/>
      <c r="I166" s="38"/>
      <c r="J166" s="38"/>
      <c r="K166" s="38"/>
      <c r="L166" s="38"/>
      <c r="U166" s="38"/>
      <c r="AN166" s="38"/>
    </row>
    <row r="167" spans="5:40" ht="11.25">
      <c r="E167" s="41"/>
      <c r="F167" s="41"/>
      <c r="G167" s="41"/>
      <c r="H167" s="38"/>
      <c r="I167" s="38"/>
      <c r="J167" s="38"/>
      <c r="K167" s="38"/>
      <c r="L167" s="38"/>
      <c r="U167" s="38"/>
      <c r="AN167" s="38"/>
    </row>
    <row r="168" spans="5:40" ht="11.25">
      <c r="E168" s="41"/>
      <c r="F168" s="41"/>
      <c r="G168" s="41"/>
      <c r="H168" s="38"/>
      <c r="I168" s="38"/>
      <c r="J168" s="38"/>
      <c r="K168" s="38"/>
      <c r="L168" s="38"/>
      <c r="U168" s="38"/>
      <c r="AN168" s="38"/>
    </row>
    <row r="169" spans="5:40" ht="11.25">
      <c r="E169" s="41"/>
      <c r="F169" s="41"/>
      <c r="G169" s="41"/>
      <c r="H169" s="38"/>
      <c r="I169" s="38"/>
      <c r="J169" s="38"/>
      <c r="K169" s="38"/>
      <c r="L169" s="38"/>
      <c r="U169" s="38"/>
      <c r="AN169" s="38"/>
    </row>
    <row r="170" spans="5:40" ht="11.25">
      <c r="E170" s="41"/>
      <c r="F170" s="41"/>
      <c r="G170" s="41"/>
      <c r="H170" s="38"/>
      <c r="I170" s="38"/>
      <c r="J170" s="38"/>
      <c r="K170" s="38"/>
      <c r="L170" s="38"/>
      <c r="U170" s="38"/>
      <c r="AN170" s="38"/>
    </row>
    <row r="171" spans="5:40" ht="11.25">
      <c r="E171" s="41"/>
      <c r="F171" s="41"/>
      <c r="G171" s="41"/>
      <c r="H171" s="38"/>
      <c r="I171" s="38"/>
      <c r="J171" s="38"/>
      <c r="K171" s="38"/>
      <c r="L171" s="38"/>
      <c r="U171" s="38"/>
      <c r="AN171" s="38"/>
    </row>
    <row r="172" spans="5:40" ht="11.25">
      <c r="E172" s="41"/>
      <c r="F172" s="41"/>
      <c r="G172" s="41"/>
      <c r="H172" s="38"/>
      <c r="I172" s="38"/>
      <c r="J172" s="38"/>
      <c r="K172" s="38"/>
      <c r="L172" s="38"/>
      <c r="U172" s="38"/>
      <c r="AN172" s="38"/>
    </row>
    <row r="173" spans="5:40" ht="11.25">
      <c r="E173" s="41"/>
      <c r="F173" s="41"/>
      <c r="G173" s="41"/>
      <c r="H173" s="38"/>
      <c r="I173" s="38"/>
      <c r="J173" s="38"/>
      <c r="K173" s="38"/>
      <c r="L173" s="38"/>
      <c r="U173" s="38"/>
      <c r="AN173" s="38"/>
    </row>
    <row r="174" spans="5:40" ht="11.25">
      <c r="E174" s="41"/>
      <c r="F174" s="41"/>
      <c r="G174" s="41"/>
      <c r="H174" s="38"/>
      <c r="I174" s="38"/>
      <c r="J174" s="38"/>
      <c r="K174" s="38"/>
      <c r="L174" s="38"/>
      <c r="U174" s="38"/>
      <c r="AN174" s="38"/>
    </row>
    <row r="175" spans="5:40" ht="11.25">
      <c r="E175" s="41"/>
      <c r="F175" s="41"/>
      <c r="G175" s="41"/>
      <c r="H175" s="38"/>
      <c r="I175" s="38"/>
      <c r="J175" s="38"/>
      <c r="K175" s="38"/>
      <c r="L175" s="38"/>
      <c r="U175" s="38"/>
      <c r="AN175" s="38"/>
    </row>
    <row r="176" spans="5:40" ht="11.25">
      <c r="E176" s="41"/>
      <c r="F176" s="41"/>
      <c r="G176" s="41"/>
      <c r="H176" s="38"/>
      <c r="I176" s="38"/>
      <c r="J176" s="38"/>
      <c r="K176" s="38"/>
      <c r="L176" s="38"/>
      <c r="U176" s="38"/>
      <c r="AN176" s="38"/>
    </row>
    <row r="177" spans="5:40" ht="11.25">
      <c r="E177" s="41"/>
      <c r="F177" s="41"/>
      <c r="G177" s="41"/>
      <c r="H177" s="38"/>
      <c r="I177" s="38"/>
      <c r="J177" s="38"/>
      <c r="K177" s="38"/>
      <c r="L177" s="38"/>
      <c r="U177" s="38"/>
      <c r="AN177" s="38"/>
    </row>
    <row r="178" spans="5:40" ht="11.25">
      <c r="E178" s="41"/>
      <c r="F178" s="41"/>
      <c r="G178" s="41"/>
      <c r="H178" s="38"/>
      <c r="I178" s="38"/>
      <c r="J178" s="38"/>
      <c r="K178" s="38"/>
      <c r="L178" s="38"/>
      <c r="U178" s="38"/>
      <c r="AN178" s="38"/>
    </row>
    <row r="179" spans="5:40" ht="11.25">
      <c r="E179" s="41"/>
      <c r="F179" s="41"/>
      <c r="G179" s="41"/>
      <c r="H179" s="38"/>
      <c r="I179" s="38"/>
      <c r="J179" s="38"/>
      <c r="K179" s="38"/>
      <c r="L179" s="38"/>
      <c r="U179" s="38"/>
      <c r="AN179" s="38"/>
    </row>
    <row r="180" spans="5:40" ht="11.25">
      <c r="E180" s="41"/>
      <c r="F180" s="41"/>
      <c r="G180" s="41"/>
      <c r="H180" s="38"/>
      <c r="I180" s="38"/>
      <c r="J180" s="38"/>
      <c r="K180" s="38"/>
      <c r="L180" s="38"/>
      <c r="U180" s="38"/>
      <c r="AN180" s="38"/>
    </row>
    <row r="181" spans="5:40" ht="11.25">
      <c r="E181" s="41"/>
      <c r="F181" s="41"/>
      <c r="G181" s="41"/>
      <c r="H181" s="38"/>
      <c r="I181" s="38"/>
      <c r="J181" s="38"/>
      <c r="K181" s="38"/>
      <c r="L181" s="38"/>
      <c r="U181" s="38"/>
      <c r="AN181" s="38"/>
    </row>
    <row r="182" spans="5:40" ht="11.25">
      <c r="E182" s="41"/>
      <c r="F182" s="41"/>
      <c r="G182" s="41"/>
      <c r="H182" s="38"/>
      <c r="I182" s="38"/>
      <c r="J182" s="38"/>
      <c r="K182" s="38"/>
      <c r="L182" s="38"/>
      <c r="U182" s="38"/>
      <c r="AN182" s="38"/>
    </row>
    <row r="183" spans="5:40" ht="11.25">
      <c r="E183" s="41"/>
      <c r="F183" s="41"/>
      <c r="G183" s="41"/>
      <c r="H183" s="38"/>
      <c r="I183" s="38"/>
      <c r="J183" s="38"/>
      <c r="K183" s="38"/>
      <c r="L183" s="38"/>
      <c r="U183" s="38"/>
      <c r="AN183" s="38"/>
    </row>
    <row r="184" spans="5:40" ht="11.25">
      <c r="E184" s="41"/>
      <c r="F184" s="41"/>
      <c r="G184" s="41"/>
      <c r="H184" s="38"/>
      <c r="I184" s="38"/>
      <c r="J184" s="38"/>
      <c r="K184" s="38"/>
      <c r="L184" s="38"/>
      <c r="U184" s="38"/>
      <c r="AN184" s="38"/>
    </row>
    <row r="185" spans="5:40" ht="11.25">
      <c r="E185" s="41"/>
      <c r="F185" s="41"/>
      <c r="G185" s="41"/>
      <c r="H185" s="38"/>
      <c r="I185" s="38"/>
      <c r="J185" s="38"/>
      <c r="K185" s="38"/>
      <c r="L185" s="38"/>
      <c r="U185" s="38"/>
      <c r="AN185" s="38"/>
    </row>
    <row r="186" spans="5:40" ht="11.25">
      <c r="E186" s="41"/>
      <c r="F186" s="41"/>
      <c r="G186" s="41"/>
      <c r="H186" s="38"/>
      <c r="I186" s="38"/>
      <c r="J186" s="38"/>
      <c r="K186" s="38"/>
      <c r="L186" s="38"/>
      <c r="U186" s="38"/>
      <c r="AN186" s="38"/>
    </row>
    <row r="187" spans="5:40" ht="11.25">
      <c r="E187" s="41"/>
      <c r="F187" s="41"/>
      <c r="G187" s="41"/>
      <c r="H187" s="38"/>
      <c r="I187" s="38"/>
      <c r="J187" s="38"/>
      <c r="K187" s="38"/>
      <c r="L187" s="38"/>
      <c r="U187" s="38"/>
      <c r="AN187" s="38"/>
    </row>
    <row r="188" spans="5:40" ht="11.25">
      <c r="E188" s="41"/>
      <c r="F188" s="41"/>
      <c r="G188" s="41"/>
      <c r="H188" s="38"/>
      <c r="I188" s="38"/>
      <c r="J188" s="38"/>
      <c r="K188" s="38"/>
      <c r="L188" s="38"/>
      <c r="U188" s="38"/>
      <c r="AN188" s="38"/>
    </row>
    <row r="189" spans="5:40" ht="11.25">
      <c r="E189" s="41"/>
      <c r="F189" s="41"/>
      <c r="G189" s="41"/>
      <c r="H189" s="38"/>
      <c r="I189" s="38"/>
      <c r="J189" s="38"/>
      <c r="K189" s="38"/>
      <c r="L189" s="38"/>
      <c r="U189" s="38"/>
      <c r="AN189" s="38"/>
    </row>
    <row r="190" spans="5:40" ht="11.25">
      <c r="E190" s="41"/>
      <c r="F190" s="41"/>
      <c r="G190" s="41"/>
      <c r="H190" s="38"/>
      <c r="I190" s="38"/>
      <c r="J190" s="38"/>
      <c r="K190" s="38"/>
      <c r="L190" s="38"/>
      <c r="U190" s="38"/>
      <c r="AN190" s="38"/>
    </row>
    <row r="191" spans="5:40" ht="11.25">
      <c r="E191" s="41"/>
      <c r="F191" s="41"/>
      <c r="G191" s="41"/>
      <c r="H191" s="38"/>
      <c r="I191" s="38"/>
      <c r="J191" s="38"/>
      <c r="K191" s="38"/>
      <c r="L191" s="38"/>
      <c r="U191" s="38"/>
      <c r="AN191" s="38"/>
    </row>
    <row r="192" spans="5:40" ht="11.25">
      <c r="E192" s="41"/>
      <c r="F192" s="41"/>
      <c r="G192" s="41"/>
      <c r="H192" s="38"/>
      <c r="I192" s="38"/>
      <c r="J192" s="38"/>
      <c r="K192" s="38"/>
      <c r="L192" s="38"/>
      <c r="U192" s="38"/>
      <c r="AN192" s="38"/>
    </row>
    <row r="193" spans="5:40" ht="11.25">
      <c r="E193" s="41"/>
      <c r="F193" s="41"/>
      <c r="G193" s="41"/>
      <c r="H193" s="38"/>
      <c r="I193" s="38"/>
      <c r="J193" s="38"/>
      <c r="K193" s="38"/>
      <c r="L193" s="38"/>
      <c r="U193" s="38"/>
      <c r="AN193" s="38"/>
    </row>
    <row r="194" spans="5:40" ht="11.25">
      <c r="E194" s="41"/>
      <c r="F194" s="41"/>
      <c r="G194" s="41"/>
      <c r="H194" s="38"/>
      <c r="I194" s="38"/>
      <c r="J194" s="38"/>
      <c r="K194" s="38"/>
      <c r="L194" s="38"/>
      <c r="U194" s="38"/>
      <c r="AN194" s="38"/>
    </row>
    <row r="195" spans="5:40" ht="11.25">
      <c r="E195" s="41"/>
      <c r="F195" s="41"/>
      <c r="G195" s="41"/>
      <c r="H195" s="38"/>
      <c r="I195" s="38"/>
      <c r="J195" s="38"/>
      <c r="K195" s="38"/>
      <c r="L195" s="38"/>
      <c r="U195" s="38"/>
      <c r="AN195" s="38"/>
    </row>
    <row r="196" spans="5:40" ht="11.25">
      <c r="E196" s="41"/>
      <c r="F196" s="41"/>
      <c r="G196" s="41"/>
      <c r="H196" s="38"/>
      <c r="I196" s="38"/>
      <c r="J196" s="38"/>
      <c r="K196" s="38"/>
      <c r="L196" s="38"/>
      <c r="U196" s="38"/>
      <c r="AN196" s="38"/>
    </row>
    <row r="197" spans="5:40" ht="11.25">
      <c r="E197" s="41"/>
      <c r="F197" s="41"/>
      <c r="G197" s="41"/>
      <c r="H197" s="38"/>
      <c r="I197" s="38"/>
      <c r="J197" s="38"/>
      <c r="K197" s="38"/>
      <c r="L197" s="38"/>
      <c r="U197" s="38"/>
      <c r="AN197" s="38"/>
    </row>
    <row r="198" spans="5:40" ht="11.25">
      <c r="E198" s="41"/>
      <c r="F198" s="41"/>
      <c r="G198" s="41"/>
      <c r="H198" s="38"/>
      <c r="I198" s="38"/>
      <c r="J198" s="38"/>
      <c r="K198" s="38"/>
      <c r="L198" s="38"/>
      <c r="U198" s="38"/>
      <c r="AN198" s="38"/>
    </row>
    <row r="199" spans="5:40" ht="11.25">
      <c r="E199" s="41"/>
      <c r="F199" s="41"/>
      <c r="G199" s="41"/>
      <c r="H199" s="38"/>
      <c r="I199" s="38"/>
      <c r="J199" s="38"/>
      <c r="K199" s="38"/>
      <c r="L199" s="38"/>
      <c r="U199" s="38"/>
      <c r="AN199" s="38"/>
    </row>
    <row r="200" spans="5:40" ht="11.25">
      <c r="E200" s="41"/>
      <c r="F200" s="41"/>
      <c r="G200" s="41"/>
      <c r="H200" s="38"/>
      <c r="I200" s="38"/>
      <c r="J200" s="38"/>
      <c r="K200" s="38"/>
      <c r="L200" s="38"/>
      <c r="U200" s="38"/>
      <c r="AN200" s="38"/>
    </row>
    <row r="201" spans="5:40" ht="11.25">
      <c r="E201" s="41"/>
      <c r="F201" s="41"/>
      <c r="G201" s="41"/>
      <c r="H201" s="38"/>
      <c r="I201" s="38"/>
      <c r="J201" s="38"/>
      <c r="K201" s="38"/>
      <c r="L201" s="38"/>
      <c r="U201" s="38"/>
      <c r="AN201" s="38"/>
    </row>
    <row r="202" spans="5:40" ht="11.25">
      <c r="E202" s="41"/>
      <c r="F202" s="41"/>
      <c r="G202" s="41"/>
      <c r="H202" s="38"/>
      <c r="I202" s="38"/>
      <c r="J202" s="38"/>
      <c r="K202" s="38"/>
      <c r="L202" s="38"/>
      <c r="U202" s="38"/>
      <c r="AN202" s="38"/>
    </row>
    <row r="203" spans="5:40" ht="11.25">
      <c r="E203" s="41"/>
      <c r="F203" s="41"/>
      <c r="G203" s="41"/>
      <c r="H203" s="38"/>
      <c r="I203" s="38"/>
      <c r="J203" s="38"/>
      <c r="K203" s="38"/>
      <c r="L203" s="38"/>
      <c r="U203" s="38"/>
      <c r="AN203" s="38"/>
    </row>
    <row r="204" spans="5:40" ht="11.25">
      <c r="E204" s="41"/>
      <c r="F204" s="41"/>
      <c r="G204" s="41"/>
      <c r="H204" s="38"/>
      <c r="I204" s="38"/>
      <c r="J204" s="38"/>
      <c r="K204" s="38"/>
      <c r="L204" s="38"/>
      <c r="U204" s="38"/>
      <c r="AN204" s="38"/>
    </row>
    <row r="205" spans="5:40" ht="11.25">
      <c r="E205" s="41"/>
      <c r="F205" s="41"/>
      <c r="G205" s="41"/>
      <c r="H205" s="38"/>
      <c r="I205" s="38"/>
      <c r="J205" s="38"/>
      <c r="K205" s="38"/>
      <c r="L205" s="38"/>
      <c r="U205" s="38"/>
      <c r="AN205" s="38"/>
    </row>
    <row r="206" spans="5:40" ht="11.25">
      <c r="E206" s="41"/>
      <c r="F206" s="41"/>
      <c r="G206" s="41"/>
      <c r="H206" s="38"/>
      <c r="I206" s="38"/>
      <c r="J206" s="38"/>
      <c r="K206" s="38"/>
      <c r="L206" s="38"/>
      <c r="U206" s="38"/>
      <c r="AN206" s="38"/>
    </row>
    <row r="207" spans="5:40" ht="11.25">
      <c r="E207" s="41"/>
      <c r="F207" s="41"/>
      <c r="G207" s="41"/>
      <c r="H207" s="38"/>
      <c r="I207" s="38"/>
      <c r="J207" s="38"/>
      <c r="K207" s="38"/>
      <c r="L207" s="38"/>
      <c r="U207" s="38"/>
      <c r="AN207" s="38"/>
    </row>
    <row r="208" spans="5:40" ht="11.25">
      <c r="E208" s="41"/>
      <c r="F208" s="41"/>
      <c r="G208" s="41"/>
      <c r="H208" s="38"/>
      <c r="I208" s="38"/>
      <c r="J208" s="38"/>
      <c r="K208" s="38"/>
      <c r="L208" s="38"/>
      <c r="U208" s="38"/>
      <c r="AN208" s="38"/>
    </row>
    <row r="209" spans="5:40" ht="11.25">
      <c r="E209" s="41"/>
      <c r="F209" s="41"/>
      <c r="G209" s="41"/>
      <c r="H209" s="38"/>
      <c r="I209" s="38"/>
      <c r="J209" s="38"/>
      <c r="K209" s="38"/>
      <c r="L209" s="38"/>
      <c r="U209" s="38"/>
      <c r="AN209" s="38"/>
    </row>
    <row r="210" spans="5:40" ht="11.25">
      <c r="E210" s="41"/>
      <c r="F210" s="41"/>
      <c r="G210" s="41"/>
      <c r="H210" s="38"/>
      <c r="I210" s="38"/>
      <c r="J210" s="38"/>
      <c r="K210" s="38"/>
      <c r="L210" s="38"/>
      <c r="U210" s="38"/>
      <c r="AN210" s="38"/>
    </row>
  </sheetData>
  <sheetProtection/>
  <conditionalFormatting sqref="E144:F144">
    <cfRule type="cellIs" priority="2" dxfId="0" operator="notEqual">
      <formula>0</formula>
    </cfRule>
  </conditionalFormatting>
  <conditionalFormatting sqref="E116:F116">
    <cfRule type="cellIs" priority="1" dxfId="0" operator="notEqual">
      <formula>0</formula>
    </cfRule>
  </conditionalFormatting>
  <printOptions gridLines="1"/>
  <pageMargins left="0.2755905511811024" right="0.15748031496062992" top="0.6299212598425197" bottom="0.5511811023622047" header="0.31496062992125984" footer="0.2362204724409449"/>
  <pageSetup fitToWidth="3" fitToHeight="1" horizontalDpi="600" verticalDpi="600" orientation="landscape" paperSize="8" r:id="rId3"/>
  <headerFooter>
    <oddHeader xml:space="preserve">&amp;C&amp;"Arial,Bold"&amp;16ODP Overspend By Category </oddHeader>
    <oddFooter>&amp;L&amp;F  &amp;A&amp;R&amp;D</oddFooter>
  </headerFooter>
  <rowBreaks count="1" manualBreakCount="1">
    <brk id="49" max="68" man="1"/>
  </rowBreaks>
  <colBreaks count="1" manualBreakCount="1">
    <brk id="49"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111"/>
  <sheetViews>
    <sheetView zoomScalePageLayoutView="0" workbookViewId="0" topLeftCell="A1">
      <selection activeCell="A1" sqref="A1"/>
    </sheetView>
  </sheetViews>
  <sheetFormatPr defaultColWidth="9.140625" defaultRowHeight="12.75"/>
  <cols>
    <col min="1" max="1" width="6.8515625" style="29" customWidth="1"/>
    <col min="2" max="2" width="7.421875" style="29" customWidth="1"/>
    <col min="3" max="3" width="36.421875" style="29" customWidth="1"/>
    <col min="4" max="4" width="9.8515625" style="66" customWidth="1"/>
    <col min="5" max="6" width="9.140625" style="29" customWidth="1"/>
    <col min="7" max="7" width="32.7109375" style="29" bestFit="1" customWidth="1"/>
    <col min="8" max="16384" width="9.140625" style="29" customWidth="1"/>
  </cols>
  <sheetData>
    <row r="1" ht="12.75">
      <c r="A1" s="68" t="s">
        <v>768</v>
      </c>
    </row>
    <row r="2" ht="12.75">
      <c r="A2" s="68" t="s">
        <v>769</v>
      </c>
    </row>
    <row r="3" ht="12.75">
      <c r="A3" s="68"/>
    </row>
    <row r="4" spans="1:4" s="70" customFormat="1" ht="24.75" customHeight="1">
      <c r="A4" s="70" t="s">
        <v>252</v>
      </c>
      <c r="B4" s="70" t="s">
        <v>253</v>
      </c>
      <c r="C4" s="70" t="s">
        <v>254</v>
      </c>
      <c r="D4" s="93" t="s">
        <v>255</v>
      </c>
    </row>
    <row r="5" s="30" customFormat="1" ht="11.25">
      <c r="D5" s="65"/>
    </row>
    <row r="6" spans="1:4" s="30" customFormat="1" ht="21.75" customHeight="1">
      <c r="A6" s="30" t="s">
        <v>256</v>
      </c>
      <c r="C6" s="30" t="s">
        <v>174</v>
      </c>
      <c r="D6" s="67"/>
    </row>
    <row r="7" spans="2:4" ht="11.25">
      <c r="B7" s="64" t="s">
        <v>149</v>
      </c>
      <c r="C7" s="64" t="s">
        <v>173</v>
      </c>
      <c r="D7" s="69">
        <f>'UR-Summary PAD'!V33</f>
        <v>3381.661</v>
      </c>
    </row>
    <row r="8" spans="2:4" ht="11.25">
      <c r="B8" s="64" t="s">
        <v>148</v>
      </c>
      <c r="C8" s="64" t="s">
        <v>172</v>
      </c>
      <c r="D8" s="69">
        <f>'UR-Summary PAD'!W$33</f>
        <v>354.88406399999997</v>
      </c>
    </row>
    <row r="9" spans="2:4" ht="11.25">
      <c r="B9" s="64" t="s">
        <v>147</v>
      </c>
      <c r="C9" s="64" t="s">
        <v>171</v>
      </c>
      <c r="D9" s="69">
        <f>'UR-Summary PAD'!X$33</f>
        <v>287.55445000000003</v>
      </c>
    </row>
    <row r="10" spans="2:4" ht="11.25">
      <c r="B10" s="64" t="s">
        <v>146</v>
      </c>
      <c r="C10" s="64" t="s">
        <v>257</v>
      </c>
      <c r="D10" s="69">
        <f>'UR-Summary PAD'!Y$33</f>
        <v>32.972</v>
      </c>
    </row>
    <row r="11" spans="2:4" ht="11.25">
      <c r="B11" s="64" t="s">
        <v>145</v>
      </c>
      <c r="C11" s="64" t="s">
        <v>248</v>
      </c>
      <c r="D11" s="69">
        <f>'UR-Summary PAD'!Z$33</f>
        <v>24.729000000000003</v>
      </c>
    </row>
    <row r="12" spans="2:4" ht="11.25">
      <c r="B12" s="64" t="s">
        <v>144</v>
      </c>
      <c r="C12" s="64" t="s">
        <v>259</v>
      </c>
      <c r="D12" s="69">
        <f>'UR-Summary PAD'!AA$33</f>
        <v>60.099999999999994</v>
      </c>
    </row>
    <row r="13" spans="2:4" ht="11.25">
      <c r="B13" s="64" t="s">
        <v>142</v>
      </c>
      <c r="C13" s="64" t="s">
        <v>260</v>
      </c>
      <c r="D13" s="69">
        <f>'UR-Summary PAD'!AB$33</f>
        <v>426.4248</v>
      </c>
    </row>
    <row r="14" spans="3:4" ht="11.25">
      <c r="C14" s="30" t="s">
        <v>261</v>
      </c>
      <c r="D14" s="67">
        <f>SUM(D7:D13)</f>
        <v>4568.325314</v>
      </c>
    </row>
    <row r="15" spans="1:4" s="30" customFormat="1" ht="22.5" customHeight="1">
      <c r="A15" s="30" t="s">
        <v>262</v>
      </c>
      <c r="C15" s="30" t="s">
        <v>169</v>
      </c>
      <c r="D15" s="65"/>
    </row>
    <row r="16" spans="2:4" ht="11.25">
      <c r="B16" s="29" t="s">
        <v>141</v>
      </c>
      <c r="C16" s="29" t="s">
        <v>216</v>
      </c>
      <c r="D16" s="66">
        <f>'UR-Summary PAD'!$AC$33</f>
        <v>104.96000000000001</v>
      </c>
    </row>
    <row r="17" spans="2:4" ht="11.25">
      <c r="B17" s="29" t="s">
        <v>140</v>
      </c>
      <c r="C17" s="29" t="s">
        <v>215</v>
      </c>
      <c r="D17" s="66">
        <f>'UR-Summary PAD'!$AD$33</f>
        <v>94.9</v>
      </c>
    </row>
    <row r="18" spans="2:4" ht="11.25">
      <c r="B18" s="29" t="s">
        <v>139</v>
      </c>
      <c r="C18" s="29" t="s">
        <v>242</v>
      </c>
      <c r="D18" s="66">
        <f>'UR-Summary PAD'!$AE$33</f>
        <v>36.52</v>
      </c>
    </row>
    <row r="19" spans="2:4" ht="11.25">
      <c r="B19" s="29" t="s">
        <v>138</v>
      </c>
      <c r="C19" s="29" t="s">
        <v>241</v>
      </c>
      <c r="D19" s="66">
        <f>'UR-Summary PAD'!$AF$33</f>
        <v>12.5</v>
      </c>
    </row>
    <row r="20" spans="2:4" ht="11.25">
      <c r="B20" s="29" t="s">
        <v>137</v>
      </c>
      <c r="C20" s="29" t="s">
        <v>240</v>
      </c>
      <c r="D20" s="66">
        <f>'UR-Summary PAD'!$AG$33</f>
        <v>63.029999999999994</v>
      </c>
    </row>
    <row r="21" spans="2:4" ht="11.25">
      <c r="B21" s="29" t="s">
        <v>136</v>
      </c>
      <c r="C21" s="29" t="s">
        <v>239</v>
      </c>
      <c r="D21" s="66">
        <f>'UR-Summary PAD'!$AH$33</f>
        <v>101.31</v>
      </c>
    </row>
    <row r="22" spans="2:4" ht="11.25">
      <c r="B22" s="29" t="s">
        <v>135</v>
      </c>
      <c r="C22" s="29" t="s">
        <v>238</v>
      </c>
      <c r="D22" s="66">
        <f>'UR-Summary PAD'!$AI$33</f>
        <v>157.3</v>
      </c>
    </row>
    <row r="23" spans="2:4" ht="11.25">
      <c r="B23" s="29" t="s">
        <v>134</v>
      </c>
      <c r="C23" s="29" t="s">
        <v>237</v>
      </c>
      <c r="D23" s="66">
        <f>'UR-Summary PAD'!$AJ$33</f>
        <v>225</v>
      </c>
    </row>
    <row r="24" spans="2:4" ht="11.25">
      <c r="B24" s="29" t="s">
        <v>133</v>
      </c>
      <c r="C24" s="29" t="s">
        <v>236</v>
      </c>
      <c r="D24" s="66">
        <f>'UR-Summary PAD'!$AK$33</f>
        <v>61.599999999999994</v>
      </c>
    </row>
    <row r="25" spans="2:4" ht="11.25">
      <c r="B25" s="29" t="s">
        <v>132</v>
      </c>
      <c r="C25" s="29" t="s">
        <v>219</v>
      </c>
      <c r="D25" s="66">
        <f>'UR-Summary PAD'!$AL$33</f>
        <v>0</v>
      </c>
    </row>
    <row r="26" spans="2:4" ht="11.25">
      <c r="B26" s="29" t="s">
        <v>131</v>
      </c>
      <c r="C26" s="29" t="s">
        <v>235</v>
      </c>
      <c r="D26" s="66">
        <f>'UR-Summary PAD'!$AM$33</f>
        <v>58.72</v>
      </c>
    </row>
    <row r="27" spans="2:4" ht="11.25">
      <c r="B27" s="29" t="s">
        <v>130</v>
      </c>
      <c r="C27" s="29" t="s">
        <v>234</v>
      </c>
      <c r="D27" s="66">
        <f>'UR-Summary PAD'!$AN$33</f>
        <v>0</v>
      </c>
    </row>
    <row r="28" spans="2:4" ht="11.25">
      <c r="B28" s="29" t="s">
        <v>263</v>
      </c>
      <c r="C28" s="29" t="s">
        <v>264</v>
      </c>
      <c r="D28" s="66">
        <f>'UR-Summary PAD'!$AO$33</f>
        <v>0</v>
      </c>
    </row>
    <row r="29" spans="2:4" ht="11.25">
      <c r="B29" s="29" t="s">
        <v>265</v>
      </c>
      <c r="C29" s="29" t="s">
        <v>266</v>
      </c>
      <c r="D29" s="66">
        <f>'UR-Summary PAD'!$AP$33</f>
        <v>0</v>
      </c>
    </row>
    <row r="30" spans="2:4" ht="11.25">
      <c r="B30" s="29" t="s">
        <v>129</v>
      </c>
      <c r="C30" s="29" t="s">
        <v>233</v>
      </c>
      <c r="D30" s="66">
        <f>'UR-Summary PAD'!$AQ$33</f>
        <v>0.81</v>
      </c>
    </row>
    <row r="31" spans="2:4" ht="11.25">
      <c r="B31" s="29" t="s">
        <v>128</v>
      </c>
      <c r="C31" s="29" t="s">
        <v>232</v>
      </c>
      <c r="D31" s="66">
        <f>'UR-Summary PAD'!$AR$33</f>
        <v>0</v>
      </c>
    </row>
    <row r="32" spans="2:4" ht="11.25">
      <c r="B32" s="29" t="s">
        <v>127</v>
      </c>
      <c r="C32" s="29" t="s">
        <v>198</v>
      </c>
      <c r="D32" s="66">
        <f>'UR-Summary PAD'!$AS$33</f>
        <v>5</v>
      </c>
    </row>
    <row r="33" spans="2:4" ht="11.25">
      <c r="B33" s="29" t="s">
        <v>125</v>
      </c>
      <c r="C33" s="29" t="s">
        <v>126</v>
      </c>
      <c r="D33" s="66">
        <f>'UR-Summary PAD'!$AT$33</f>
        <v>3.45</v>
      </c>
    </row>
    <row r="34" spans="2:4" ht="11.25">
      <c r="B34" s="29" t="s">
        <v>123</v>
      </c>
      <c r="C34" s="29" t="s">
        <v>124</v>
      </c>
      <c r="D34" s="66">
        <f>'UR-Summary PAD'!$AU$33</f>
        <v>0</v>
      </c>
    </row>
    <row r="35" spans="2:4" ht="11.25">
      <c r="B35" s="29" t="s">
        <v>122</v>
      </c>
      <c r="C35" s="29" t="s">
        <v>231</v>
      </c>
      <c r="D35" s="66">
        <f>'UR-Summary PAD'!$AV$33</f>
        <v>0</v>
      </c>
    </row>
    <row r="36" spans="2:4" ht="11.25">
      <c r="B36" s="29" t="s">
        <v>120</v>
      </c>
      <c r="C36" s="29" t="s">
        <v>121</v>
      </c>
      <c r="D36" s="66">
        <f>'UR-Summary PAD'!$AW$33</f>
        <v>0</v>
      </c>
    </row>
    <row r="37" spans="2:4" ht="11.25">
      <c r="B37" s="29" t="s">
        <v>113</v>
      </c>
      <c r="C37" s="29" t="s">
        <v>166</v>
      </c>
      <c r="D37" s="66">
        <f>'UR-Summary PAD'!$AX$33</f>
        <v>94.8853</v>
      </c>
    </row>
    <row r="38" spans="3:4" ht="11.25">
      <c r="C38" s="30" t="s">
        <v>261</v>
      </c>
      <c r="D38" s="67">
        <f>SUM(D16:D37)</f>
        <v>1019.9853</v>
      </c>
    </row>
    <row r="39" spans="1:4" s="30" customFormat="1" ht="22.5" customHeight="1">
      <c r="A39" s="30" t="s">
        <v>267</v>
      </c>
      <c r="C39" s="30" t="s">
        <v>168</v>
      </c>
      <c r="D39" s="65"/>
    </row>
    <row r="40" spans="2:4" ht="11.25">
      <c r="B40" s="29" t="s">
        <v>112</v>
      </c>
      <c r="C40" s="29" t="s">
        <v>223</v>
      </c>
      <c r="D40" s="66">
        <f>'UR-Summary PAD'!$AY$33</f>
        <v>50</v>
      </c>
    </row>
    <row r="41" spans="2:4" ht="11.25">
      <c r="B41" s="29" t="s">
        <v>111</v>
      </c>
      <c r="C41" s="29" t="s">
        <v>222</v>
      </c>
      <c r="D41" s="66">
        <f>'UR-Summary PAD'!$AZ$33</f>
        <v>1538.5</v>
      </c>
    </row>
    <row r="42" spans="2:4" ht="11.25">
      <c r="B42" s="29" t="s">
        <v>110</v>
      </c>
      <c r="C42" s="29" t="s">
        <v>221</v>
      </c>
      <c r="D42" s="66">
        <f>'UR-Summary PAD'!$BA$33</f>
        <v>560.4</v>
      </c>
    </row>
    <row r="43" spans="2:4" ht="11.25">
      <c r="B43" s="29" t="s">
        <v>109</v>
      </c>
      <c r="C43" s="29" t="s">
        <v>235</v>
      </c>
      <c r="D43" s="66">
        <f>'UR-Summary PAD'!$BB$33</f>
        <v>150</v>
      </c>
    </row>
    <row r="44" spans="2:4" ht="11.25">
      <c r="B44" s="29" t="s">
        <v>108</v>
      </c>
      <c r="C44" s="29" t="s">
        <v>220</v>
      </c>
      <c r="D44" s="66">
        <f>'UR-Summary PAD'!$BC$33</f>
        <v>152.25</v>
      </c>
    </row>
    <row r="45" spans="2:4" ht="11.25">
      <c r="B45" s="29" t="s">
        <v>107</v>
      </c>
      <c r="C45" s="29" t="s">
        <v>219</v>
      </c>
      <c r="D45" s="66">
        <f>'UR-Summary PAD'!$BD$33</f>
        <v>0</v>
      </c>
    </row>
    <row r="46" spans="2:4" ht="11.25">
      <c r="B46" s="29" t="s">
        <v>106</v>
      </c>
      <c r="C46" s="29" t="s">
        <v>268</v>
      </c>
      <c r="D46" s="66">
        <f>'UR-Summary PAD'!$BE$33</f>
        <v>590</v>
      </c>
    </row>
    <row r="47" spans="2:4" ht="11.25">
      <c r="B47" s="29" t="s">
        <v>105</v>
      </c>
      <c r="C47" s="29" t="s">
        <v>166</v>
      </c>
      <c r="D47" s="66">
        <f>'UR-Summary PAD'!$BF$33</f>
        <v>303.6014</v>
      </c>
    </row>
    <row r="48" spans="3:4" ht="11.25">
      <c r="C48" s="30" t="s">
        <v>261</v>
      </c>
      <c r="D48" s="67">
        <f>SUM(D40:D47)</f>
        <v>3344.7514</v>
      </c>
    </row>
    <row r="49" spans="1:4" ht="22.5" customHeight="1">
      <c r="A49" s="30" t="s">
        <v>269</v>
      </c>
      <c r="B49" s="30"/>
      <c r="C49" s="30" t="s">
        <v>167</v>
      </c>
      <c r="D49" s="65"/>
    </row>
    <row r="50" spans="2:4" ht="11.25">
      <c r="B50" s="29" t="s">
        <v>104</v>
      </c>
      <c r="C50" s="29" t="s">
        <v>216</v>
      </c>
      <c r="D50" s="66">
        <f>'UR-Summary PAD'!$BG$33</f>
        <v>961.8</v>
      </c>
    </row>
    <row r="51" spans="2:4" ht="11.25">
      <c r="B51" s="29" t="s">
        <v>103</v>
      </c>
      <c r="C51" s="29" t="s">
        <v>215</v>
      </c>
      <c r="D51" s="66">
        <f>'UR-Summary PAD'!$BH$33</f>
        <v>735</v>
      </c>
    </row>
    <row r="52" spans="2:4" ht="11.25">
      <c r="B52" s="29" t="s">
        <v>102</v>
      </c>
      <c r="C52" s="29" t="s">
        <v>214</v>
      </c>
      <c r="D52" s="66">
        <f>'UR-Summary PAD'!$BI$33</f>
        <v>280</v>
      </c>
    </row>
    <row r="53" spans="2:4" ht="11.25">
      <c r="B53" s="29" t="s">
        <v>101</v>
      </c>
      <c r="C53" s="29" t="s">
        <v>213</v>
      </c>
      <c r="D53" s="66">
        <f>'UR-Summary PAD'!$BJ$33</f>
        <v>18.150000000000002</v>
      </c>
    </row>
    <row r="54" spans="2:4" ht="11.25">
      <c r="B54" s="29" t="s">
        <v>100</v>
      </c>
      <c r="C54" s="29" t="s">
        <v>212</v>
      </c>
      <c r="D54" s="66">
        <f>'UR-Summary PAD'!$BK$33</f>
        <v>301.7</v>
      </c>
    </row>
    <row r="55" spans="2:4" ht="11.25">
      <c r="B55" s="29" t="s">
        <v>99</v>
      </c>
      <c r="C55" s="29" t="s">
        <v>211</v>
      </c>
      <c r="D55" s="66">
        <f>'UR-Summary PAD'!$BL$33</f>
        <v>301.7</v>
      </c>
    </row>
    <row r="56" spans="2:4" ht="11.25">
      <c r="B56" s="29" t="s">
        <v>98</v>
      </c>
      <c r="C56" s="29" t="s">
        <v>210</v>
      </c>
      <c r="D56" s="66">
        <f>'UR-Summary PAD'!$BM$33</f>
        <v>211.60000000000002</v>
      </c>
    </row>
    <row r="57" spans="2:4" ht="11.25">
      <c r="B57" s="29" t="s">
        <v>97</v>
      </c>
      <c r="C57" s="29" t="s">
        <v>209</v>
      </c>
      <c r="D57" s="66">
        <f>'UR-Summary PAD'!$BN$33</f>
        <v>357.85</v>
      </c>
    </row>
    <row r="58" spans="2:4" ht="11.25">
      <c r="B58" s="29" t="s">
        <v>96</v>
      </c>
      <c r="C58" s="29" t="s">
        <v>208</v>
      </c>
      <c r="D58" s="66">
        <f>'UR-Summary PAD'!$BO$33</f>
        <v>189.64999999999998</v>
      </c>
    </row>
    <row r="59" spans="2:4" ht="11.25">
      <c r="B59" s="29" t="s">
        <v>95</v>
      </c>
      <c r="C59" s="29" t="s">
        <v>207</v>
      </c>
      <c r="D59" s="66">
        <f>'UR-Summary PAD'!$BP$33</f>
        <v>208.55</v>
      </c>
    </row>
    <row r="60" spans="2:4" ht="11.25">
      <c r="B60" s="29" t="s">
        <v>94</v>
      </c>
      <c r="C60" s="29" t="s">
        <v>206</v>
      </c>
      <c r="D60" s="66">
        <f>'UR-Summary PAD'!$BQ$33</f>
        <v>208.55</v>
      </c>
    </row>
    <row r="61" spans="2:4" ht="11.25">
      <c r="B61" s="29" t="s">
        <v>93</v>
      </c>
      <c r="C61" s="29" t="s">
        <v>205</v>
      </c>
      <c r="D61" s="66">
        <f>'UR-Summary PAD'!$BR$33</f>
        <v>212.55</v>
      </c>
    </row>
    <row r="62" spans="2:4" ht="11.25">
      <c r="B62" s="29" t="s">
        <v>92</v>
      </c>
      <c r="C62" s="29" t="s">
        <v>204</v>
      </c>
      <c r="D62" s="66">
        <f>'UR-Summary PAD'!$BS$33</f>
        <v>16.2</v>
      </c>
    </row>
    <row r="63" spans="2:4" ht="11.25">
      <c r="B63" s="29" t="s">
        <v>91</v>
      </c>
      <c r="C63" s="29" t="s">
        <v>203</v>
      </c>
      <c r="D63" s="66">
        <f>'UR-Summary PAD'!$BT$33</f>
        <v>2441.9</v>
      </c>
    </row>
    <row r="64" spans="2:4" ht="11.25">
      <c r="B64" s="29" t="s">
        <v>90</v>
      </c>
      <c r="C64" s="29" t="s">
        <v>202</v>
      </c>
      <c r="D64" s="66">
        <f>'UR-Summary PAD'!$BU$33</f>
        <v>47.2</v>
      </c>
    </row>
    <row r="65" spans="2:4" ht="11.25">
      <c r="B65" s="29" t="s">
        <v>89</v>
      </c>
      <c r="C65" s="29" t="s">
        <v>201</v>
      </c>
      <c r="D65" s="66">
        <f>'UR-Summary PAD'!$BV$33</f>
        <v>1016</v>
      </c>
    </row>
    <row r="66" spans="2:4" ht="11.25">
      <c r="B66" s="29" t="s">
        <v>88</v>
      </c>
      <c r="C66" s="29" t="s">
        <v>200</v>
      </c>
      <c r="D66" s="66">
        <f>'UR-Summary PAD'!$BW$33</f>
        <v>631.2</v>
      </c>
    </row>
    <row r="67" spans="2:4" ht="11.25">
      <c r="B67" s="29" t="s">
        <v>87</v>
      </c>
      <c r="C67" s="29" t="s">
        <v>199</v>
      </c>
      <c r="D67" s="66">
        <f>'UR-Summary PAD'!$BX$33</f>
        <v>0</v>
      </c>
    </row>
    <row r="68" spans="2:4" ht="11.25">
      <c r="B68" s="29" t="s">
        <v>86</v>
      </c>
      <c r="C68" s="29" t="s">
        <v>198</v>
      </c>
      <c r="D68" s="66">
        <f>'UR-Summary PAD'!$BY$33</f>
        <v>100</v>
      </c>
    </row>
    <row r="69" spans="2:4" ht="11.25">
      <c r="B69" s="29" t="s">
        <v>85</v>
      </c>
      <c r="C69" s="29" t="s">
        <v>197</v>
      </c>
      <c r="D69" s="66">
        <f>'UR-Summary PAD'!$BZ$33</f>
        <v>0</v>
      </c>
    </row>
    <row r="70" spans="2:4" ht="11.25">
      <c r="B70" s="29" t="s">
        <v>84</v>
      </c>
      <c r="C70" s="29" t="s">
        <v>173</v>
      </c>
      <c r="D70" s="66">
        <f>'UR-Summary PAD'!$CA$33</f>
        <v>781.8399999999999</v>
      </c>
    </row>
    <row r="71" spans="2:4" ht="11.25">
      <c r="B71" s="29" t="s">
        <v>82</v>
      </c>
      <c r="C71" s="29" t="s">
        <v>166</v>
      </c>
      <c r="D71" s="66">
        <f>'UR-Summary PAD'!$CB$33</f>
        <v>898.3422</v>
      </c>
    </row>
    <row r="72" spans="3:4" ht="11.25">
      <c r="C72" s="30" t="s">
        <v>261</v>
      </c>
      <c r="D72" s="67">
        <f>SUM(D50:D71)</f>
        <v>9919.782200000001</v>
      </c>
    </row>
    <row r="73" spans="1:4" s="30" customFormat="1" ht="22.5" customHeight="1">
      <c r="A73" s="30" t="s">
        <v>270</v>
      </c>
      <c r="C73" s="30" t="s">
        <v>192</v>
      </c>
      <c r="D73" s="65"/>
    </row>
    <row r="74" spans="2:4" ht="11.25">
      <c r="B74" s="29" t="s">
        <v>81</v>
      </c>
      <c r="C74" s="29" t="s">
        <v>271</v>
      </c>
      <c r="D74" s="66">
        <f>'UR-Summary PAD'!$CC$33</f>
        <v>132.37499999999997</v>
      </c>
    </row>
    <row r="75" spans="2:4" ht="11.25">
      <c r="B75" s="29" t="s">
        <v>80</v>
      </c>
      <c r="C75" s="29" t="s">
        <v>272</v>
      </c>
      <c r="D75" s="66">
        <f>'UR-Summary PAD'!$CD$33</f>
        <v>728.424</v>
      </c>
    </row>
    <row r="76" spans="2:4" ht="11.25">
      <c r="B76" s="29" t="s">
        <v>79</v>
      </c>
      <c r="C76" s="29" t="s">
        <v>273</v>
      </c>
      <c r="D76" s="66">
        <f>'UR-Summary PAD'!$CE$33</f>
        <v>182.106</v>
      </c>
    </row>
    <row r="77" spans="2:4" ht="11.25">
      <c r="B77" s="29" t="s">
        <v>78</v>
      </c>
      <c r="C77" s="29" t="s">
        <v>274</v>
      </c>
      <c r="D77" s="66">
        <f>'UR-Summary PAD'!$CF$33</f>
        <v>539.197</v>
      </c>
    </row>
    <row r="78" spans="2:4" ht="11.25">
      <c r="B78" s="29" t="s">
        <v>77</v>
      </c>
      <c r="C78" s="29" t="s">
        <v>275</v>
      </c>
      <c r="D78" s="66">
        <f>'UR-Summary PAD'!$CG$33</f>
        <v>17634.665</v>
      </c>
    </row>
    <row r="79" spans="2:4" ht="11.25">
      <c r="B79" s="29" t="s">
        <v>76</v>
      </c>
      <c r="C79" s="29" t="s">
        <v>276</v>
      </c>
      <c r="D79" s="66">
        <f>'UR-Summary PAD'!$CH$33</f>
        <v>671.8399999999999</v>
      </c>
    </row>
    <row r="80" spans="2:4" ht="11.25">
      <c r="B80" s="29" t="s">
        <v>75</v>
      </c>
      <c r="C80" s="29" t="s">
        <v>277</v>
      </c>
      <c r="D80" s="66">
        <f>'UR-Summary PAD'!$CI$33</f>
        <v>5431.348</v>
      </c>
    </row>
    <row r="81" spans="2:4" ht="11.25">
      <c r="B81" s="29" t="s">
        <v>74</v>
      </c>
      <c r="C81" s="29" t="s">
        <v>278</v>
      </c>
      <c r="D81" s="66">
        <f>'UR-Summary PAD'!$CJ$33</f>
        <v>5363.867760000001</v>
      </c>
    </row>
    <row r="82" spans="2:4" ht="11.25">
      <c r="B82" s="29" t="s">
        <v>73</v>
      </c>
      <c r="C82" s="29" t="s">
        <v>279</v>
      </c>
      <c r="D82" s="66">
        <f>'UR-Summary PAD'!$CK$33</f>
        <v>13345.529999999999</v>
      </c>
    </row>
    <row r="83" spans="2:4" ht="11.25">
      <c r="B83" s="29" t="s">
        <v>72</v>
      </c>
      <c r="C83" s="29" t="s">
        <v>280</v>
      </c>
      <c r="D83" s="66">
        <f>'UR-Summary PAD'!$CL$33</f>
        <v>5575.375</v>
      </c>
    </row>
    <row r="84" spans="2:4" ht="11.25">
      <c r="B84" s="29" t="s">
        <v>66</v>
      </c>
      <c r="C84" s="29" t="s">
        <v>166</v>
      </c>
      <c r="D84" s="66">
        <f>'UR-Summary PAD'!$CM$33</f>
        <v>4950.2363</v>
      </c>
    </row>
    <row r="85" spans="3:5" ht="11.25">
      <c r="C85" s="30" t="s">
        <v>261</v>
      </c>
      <c r="D85" s="67">
        <f>SUM(D74:D84)</f>
        <v>54554.96406</v>
      </c>
      <c r="E85" s="425"/>
    </row>
    <row r="86" spans="1:4" s="30" customFormat="1" ht="23.25" customHeight="1">
      <c r="A86" s="30" t="s">
        <v>65</v>
      </c>
      <c r="B86" s="30" t="s">
        <v>65</v>
      </c>
      <c r="C86" s="30" t="s">
        <v>165</v>
      </c>
      <c r="D86" s="65">
        <f>'UR-Summary PAD'!$CN33</f>
        <v>3203.2699999999995</v>
      </c>
    </row>
    <row r="88" spans="3:4" ht="11.25">
      <c r="C88" s="30" t="s">
        <v>34</v>
      </c>
      <c r="D88" s="65">
        <f>+D86+D85+D72+D48+D38+D14</f>
        <v>76611.078274</v>
      </c>
    </row>
    <row r="89" spans="3:4" ht="11.25">
      <c r="C89" s="30"/>
      <c r="D89" s="65"/>
    </row>
    <row r="90" spans="3:4" ht="11.25">
      <c r="C90" s="30"/>
      <c r="D90" s="65"/>
    </row>
    <row r="91" spans="1:4" ht="11.25">
      <c r="A91" s="30" t="s">
        <v>270</v>
      </c>
      <c r="B91" s="30"/>
      <c r="C91" s="30" t="s">
        <v>316</v>
      </c>
      <c r="D91" s="30"/>
    </row>
    <row r="92" spans="1:4" ht="11.25">
      <c r="A92" s="30"/>
      <c r="B92" s="29" t="s">
        <v>81</v>
      </c>
      <c r="C92" s="29" t="s">
        <v>191</v>
      </c>
      <c r="D92" s="66">
        <v>3411.6999979351162</v>
      </c>
    </row>
    <row r="93" spans="2:4" ht="11.25">
      <c r="B93" s="29" t="s">
        <v>80</v>
      </c>
      <c r="C93" s="29" t="s">
        <v>190</v>
      </c>
      <c r="D93" s="66">
        <v>8331.172583926602</v>
      </c>
    </row>
    <row r="94" spans="2:4" ht="11.25">
      <c r="B94" s="29" t="s">
        <v>79</v>
      </c>
      <c r="C94" s="29" t="s">
        <v>189</v>
      </c>
      <c r="D94" s="66">
        <v>1978.6649514956994</v>
      </c>
    </row>
    <row r="95" spans="2:4" ht="11.25">
      <c r="B95" s="29" t="s">
        <v>78</v>
      </c>
      <c r="C95" s="29" t="s">
        <v>188</v>
      </c>
      <c r="D95" s="66">
        <v>8824.165251083337</v>
      </c>
    </row>
    <row r="96" spans="2:4" ht="11.25">
      <c r="B96" s="29" t="s">
        <v>77</v>
      </c>
      <c r="C96" s="29" t="s">
        <v>187</v>
      </c>
      <c r="D96" s="66">
        <v>2446.989644793588</v>
      </c>
    </row>
    <row r="97" spans="2:4" ht="11.25">
      <c r="B97" s="29" t="s">
        <v>76</v>
      </c>
      <c r="C97" s="29" t="s">
        <v>186</v>
      </c>
      <c r="D97" s="66">
        <v>6902.080745204399</v>
      </c>
    </row>
    <row r="98" spans="2:4" ht="11.25">
      <c r="B98" s="29" t="s">
        <v>75</v>
      </c>
      <c r="C98" s="29" t="s">
        <v>185</v>
      </c>
      <c r="D98" s="66">
        <v>6918.403791103561</v>
      </c>
    </row>
    <row r="99" spans="2:4" ht="11.25">
      <c r="B99" s="29" t="s">
        <v>74</v>
      </c>
      <c r="C99" s="29" t="s">
        <v>184</v>
      </c>
      <c r="D99" s="66">
        <v>2472.9414537231555</v>
      </c>
    </row>
    <row r="100" spans="2:4" ht="11.25">
      <c r="B100" s="29" t="s">
        <v>73</v>
      </c>
      <c r="C100" s="29" t="s">
        <v>183</v>
      </c>
      <c r="D100" s="66">
        <v>2474.1335862888245</v>
      </c>
    </row>
    <row r="101" spans="2:4" ht="11.25">
      <c r="B101" s="29" t="s">
        <v>72</v>
      </c>
      <c r="C101" s="29" t="s">
        <v>182</v>
      </c>
      <c r="D101" s="66">
        <v>486.4817892980806</v>
      </c>
    </row>
    <row r="102" spans="2:4" ht="11.25">
      <c r="B102" s="29" t="s">
        <v>71</v>
      </c>
      <c r="C102" s="29" t="s">
        <v>181</v>
      </c>
      <c r="D102" s="66">
        <v>2252.3969290743553</v>
      </c>
    </row>
    <row r="103" spans="2:4" ht="11.25">
      <c r="B103" s="29" t="s">
        <v>70</v>
      </c>
      <c r="C103" s="29" t="s">
        <v>180</v>
      </c>
      <c r="D103" s="66">
        <v>2479.360629076759</v>
      </c>
    </row>
    <row r="104" spans="2:4" ht="11.25">
      <c r="B104" s="29" t="s">
        <v>69</v>
      </c>
      <c r="C104" s="29" t="s">
        <v>179</v>
      </c>
      <c r="D104" s="66">
        <v>91.7025050514761</v>
      </c>
    </row>
    <row r="105" spans="2:4" ht="11.25">
      <c r="B105" s="29" t="s">
        <v>68</v>
      </c>
      <c r="C105" s="29" t="s">
        <v>178</v>
      </c>
      <c r="D105" s="66">
        <v>534.533901945054</v>
      </c>
    </row>
    <row r="106" spans="2:4" ht="11.25">
      <c r="B106" s="29" t="s">
        <v>67</v>
      </c>
      <c r="C106" s="29" t="s">
        <v>177</v>
      </c>
      <c r="D106" s="66">
        <v>0</v>
      </c>
    </row>
    <row r="107" spans="2:4" ht="11.25">
      <c r="B107" s="29" t="s">
        <v>176</v>
      </c>
      <c r="C107" s="66" t="s">
        <v>175</v>
      </c>
      <c r="D107" s="66">
        <v>0</v>
      </c>
    </row>
    <row r="108" spans="2:5" ht="11.25">
      <c r="B108" s="29" t="s">
        <v>66</v>
      </c>
      <c r="C108" s="66" t="s">
        <v>166</v>
      </c>
      <c r="D108" s="427">
        <v>4950.24</v>
      </c>
      <c r="E108" s="66"/>
    </row>
    <row r="109" spans="3:4" ht="11.25">
      <c r="C109" s="30" t="s">
        <v>261</v>
      </c>
      <c r="D109" s="67">
        <f>SUM(D92:D108)</f>
        <v>54554.96776000001</v>
      </c>
    </row>
    <row r="111" spans="3:4" ht="11.25">
      <c r="C111" s="30" t="s">
        <v>34</v>
      </c>
      <c r="D111" s="65">
        <f>+D86+D109+D72+D48+D38+D14</f>
        <v>76611.081974</v>
      </c>
    </row>
  </sheetData>
  <sheetProtection/>
  <printOptions gridLines="1"/>
  <pageMargins left="0.48" right="0.35" top="0.984251968503937" bottom="0.984251968503937" header="0.5118110236220472" footer="0.5118110236220472"/>
  <pageSetup fitToHeight="2" fitToWidth="1" horizontalDpi="600" verticalDpi="600" orientation="portrait" paperSize="9" scale="94" r:id="rId1"/>
  <headerFooter alignWithMargins="0">
    <oddHeader>&amp;C&amp;"Arial,Bold"&amp;12OTAHUHU 220 kV DIVERSITY PROJECT 
WORK BREAKDOWN STRUCTURE AND BUDGETS TO 'CA' LEVEL&amp;R&amp;"Arial,Bold"&amp;12As At 30/11/07</oddHeader>
    <oddFooter>&amp;L&amp;F,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N80"/>
  <sheetViews>
    <sheetView zoomScale="90" zoomScaleNormal="90" zoomScalePageLayoutView="0" workbookViewId="0" topLeftCell="A1">
      <pane xSplit="24915" topLeftCell="A1" activePane="topLeft" state="split"/>
      <selection pane="topLeft" activeCell="A1" sqref="A1"/>
      <selection pane="topRight" activeCell="D60" sqref="D60"/>
    </sheetView>
  </sheetViews>
  <sheetFormatPr defaultColWidth="9.140625" defaultRowHeight="12.75"/>
  <cols>
    <col min="1" max="1" width="34.00390625" style="32" customWidth="1"/>
    <col min="2" max="2" width="7.421875" style="32" customWidth="1"/>
    <col min="3" max="3" width="16.7109375" style="75" customWidth="1"/>
    <col min="4" max="4" width="16.140625" style="75" customWidth="1"/>
    <col min="5" max="12" width="16.7109375" style="75" customWidth="1"/>
    <col min="13" max="13" width="17.28125" style="75" customWidth="1"/>
    <col min="14" max="15" width="17.28125" style="0" customWidth="1"/>
    <col min="20" max="20" width="33.28125" style="68" customWidth="1"/>
    <col min="21" max="21" width="13.00390625" style="68" customWidth="1"/>
    <col min="22" max="22" width="14.421875" style="0" customWidth="1"/>
    <col min="23" max="23" width="11.421875" style="0" customWidth="1"/>
    <col min="24" max="24" width="8.57421875" style="0" bestFit="1" customWidth="1"/>
    <col min="25" max="25" width="6.7109375" style="0" bestFit="1" customWidth="1"/>
    <col min="26" max="26" width="7.57421875" style="0" bestFit="1" customWidth="1"/>
    <col min="27" max="27" width="8.7109375" style="0" bestFit="1" customWidth="1"/>
    <col min="28" max="28" width="10.8515625" style="0" customWidth="1"/>
    <col min="30" max="30" width="9.7109375" style="0" bestFit="1" customWidth="1"/>
    <col min="31" max="31" width="10.00390625" style="0" bestFit="1" customWidth="1"/>
    <col min="32" max="32" width="9.00390625" style="0" bestFit="1" customWidth="1"/>
    <col min="33" max="33" width="10.140625" style="0" bestFit="1" customWidth="1"/>
    <col min="34" max="34" width="10.00390625" style="0" bestFit="1" customWidth="1"/>
    <col min="35" max="35" width="11.57421875" style="0" customWidth="1"/>
    <col min="36" max="37" width="8.8515625" style="0" bestFit="1" customWidth="1"/>
    <col min="38" max="38" width="9.8515625" style="0" bestFit="1" customWidth="1"/>
    <col min="39" max="39" width="7.00390625" style="0" bestFit="1" customWidth="1"/>
    <col min="40" max="40" width="8.00390625" style="0" bestFit="1" customWidth="1"/>
    <col min="41" max="41" width="7.421875" style="0" bestFit="1" customWidth="1"/>
    <col min="42" max="42" width="7.28125" style="0" bestFit="1" customWidth="1"/>
    <col min="43" max="43" width="11.140625" style="0" customWidth="1"/>
    <col min="44" max="44" width="9.7109375" style="0" bestFit="1" customWidth="1"/>
    <col min="45" max="45" width="6.7109375" style="0" bestFit="1" customWidth="1"/>
    <col min="46" max="46" width="7.7109375" style="0" bestFit="1" customWidth="1"/>
    <col min="47" max="47" width="9.00390625" style="0" bestFit="1" customWidth="1"/>
    <col min="48" max="48" width="12.00390625" style="0" customWidth="1"/>
    <col min="49" max="49" width="7.421875" style="0" bestFit="1" customWidth="1"/>
    <col min="50" max="50" width="10.8515625" style="0" customWidth="1"/>
    <col min="51" max="51" width="12.28125" style="0" customWidth="1"/>
    <col min="52" max="52" width="9.57421875" style="0" bestFit="1" customWidth="1"/>
    <col min="53" max="53" width="8.8515625" style="0" bestFit="1" customWidth="1"/>
    <col min="54" max="54" width="7.140625" style="0" bestFit="1" customWidth="1"/>
    <col min="55" max="55" width="9.57421875" style="0" bestFit="1" customWidth="1"/>
    <col min="56" max="56" width="13.28125" style="0" customWidth="1"/>
    <col min="57" max="57" width="8.140625" style="0" bestFit="1" customWidth="1"/>
    <col min="58" max="58" width="10.57421875" style="0" bestFit="1" customWidth="1"/>
    <col min="59" max="59" width="11.7109375" style="0" bestFit="1" customWidth="1"/>
    <col min="60" max="60" width="10.7109375" style="0" customWidth="1"/>
    <col min="61" max="61" width="10.00390625" style="0" bestFit="1" customWidth="1"/>
    <col min="62" max="62" width="9.8515625" style="0" bestFit="1" customWidth="1"/>
    <col min="63" max="63" width="10.00390625" style="0" bestFit="1" customWidth="1"/>
    <col min="64" max="64" width="9.8515625" style="0" bestFit="1" customWidth="1"/>
    <col min="65" max="65" width="10.00390625" style="0" bestFit="1" customWidth="1"/>
    <col min="66" max="66" width="9.8515625" style="0" bestFit="1" customWidth="1"/>
    <col min="67" max="67" width="10.00390625" style="0" bestFit="1" customWidth="1"/>
    <col min="68" max="68" width="11.140625" style="0" bestFit="1" customWidth="1"/>
    <col min="69" max="70" width="8.8515625" style="0" bestFit="1" customWidth="1"/>
    <col min="71" max="71" width="10.8515625" style="0" customWidth="1"/>
    <col min="72" max="72" width="11.00390625" style="0" customWidth="1"/>
    <col min="73" max="73" width="14.28125" style="0" customWidth="1"/>
    <col min="74" max="74" width="8.8515625" style="0" bestFit="1" customWidth="1"/>
    <col min="75" max="75" width="7.8515625" style="0" bestFit="1" customWidth="1"/>
    <col min="76" max="76" width="9.7109375" style="0" bestFit="1" customWidth="1"/>
    <col min="77" max="77" width="7.140625" style="0" bestFit="1" customWidth="1"/>
    <col min="78" max="78" width="9.28125" style="0" bestFit="1" customWidth="1"/>
    <col min="79" max="79" width="10.8515625" style="0" bestFit="1" customWidth="1"/>
    <col min="80" max="80" width="10.7109375" style="0" bestFit="1" customWidth="1"/>
    <col min="81" max="81" width="12.7109375" style="0" customWidth="1"/>
    <col min="82" max="82" width="7.140625" style="0" bestFit="1" customWidth="1"/>
    <col min="83" max="83" width="10.8515625" style="0" customWidth="1"/>
    <col min="84" max="84" width="9.421875" style="0" bestFit="1" customWidth="1"/>
    <col min="85" max="85" width="11.421875" style="0" bestFit="1" customWidth="1"/>
    <col min="86" max="86" width="9.57421875" style="0" bestFit="1" customWidth="1"/>
    <col min="87" max="87" width="12.8515625" style="0" bestFit="1" customWidth="1"/>
    <col min="88" max="88" width="12.7109375" style="0" bestFit="1" customWidth="1"/>
    <col min="89" max="89" width="15.28125" style="0" bestFit="1" customWidth="1"/>
    <col min="90" max="90" width="12.421875" style="0" bestFit="1" customWidth="1"/>
    <col min="91" max="91" width="10.7109375" style="0" bestFit="1" customWidth="1"/>
    <col min="92" max="92" width="10.00390625" style="0" bestFit="1" customWidth="1"/>
  </cols>
  <sheetData>
    <row r="1" spans="1:13" ht="15.75">
      <c r="A1" s="71" t="s">
        <v>281</v>
      </c>
      <c r="B1" s="72"/>
      <c r="C1" s="73"/>
      <c r="D1" s="73"/>
      <c r="E1" s="73"/>
      <c r="F1" s="73"/>
      <c r="G1" s="73"/>
      <c r="H1" s="73"/>
      <c r="I1" s="73"/>
      <c r="J1" s="73"/>
      <c r="K1" s="73"/>
      <c r="L1" s="73"/>
      <c r="M1" s="73"/>
    </row>
    <row r="2" spans="1:13" ht="15.75">
      <c r="A2" s="338" t="s">
        <v>788</v>
      </c>
      <c r="B2" s="72"/>
      <c r="C2" s="73"/>
      <c r="D2" s="73"/>
      <c r="E2" s="73"/>
      <c r="F2" s="73"/>
      <c r="G2" s="73"/>
      <c r="H2" s="73"/>
      <c r="I2" s="73"/>
      <c r="J2" s="73"/>
      <c r="K2" s="73"/>
      <c r="L2" s="73"/>
      <c r="M2" s="73"/>
    </row>
    <row r="3" spans="1:2" ht="12.75">
      <c r="A3" s="76"/>
      <c r="B3" s="74"/>
    </row>
    <row r="4" spans="1:2" ht="12.75">
      <c r="A4" s="76"/>
      <c r="B4" s="74"/>
    </row>
    <row r="5" spans="1:2" ht="12.75">
      <c r="A5" s="76"/>
      <c r="B5" s="74"/>
    </row>
    <row r="6" spans="1:22" ht="12.75">
      <c r="A6" s="76"/>
      <c r="B6" s="74"/>
      <c r="D6" s="77"/>
      <c r="E6" s="77"/>
      <c r="F6" s="77"/>
      <c r="G6" s="77"/>
      <c r="H6" s="77"/>
      <c r="I6" s="77"/>
      <c r="J6" s="77"/>
      <c r="K6" s="77"/>
      <c r="L6" s="77"/>
      <c r="M6" s="77"/>
      <c r="N6" s="77"/>
      <c r="V6" s="68" t="s">
        <v>294</v>
      </c>
    </row>
    <row r="7" spans="1:92" ht="12.75">
      <c r="A7" s="76"/>
      <c r="G7" s="77"/>
      <c r="H7" s="77"/>
      <c r="I7" s="77"/>
      <c r="J7" s="77"/>
      <c r="L7" s="77"/>
      <c r="N7" s="75"/>
      <c r="U7" s="68" t="s">
        <v>295</v>
      </c>
      <c r="V7" s="80" t="s">
        <v>149</v>
      </c>
      <c r="W7" s="81" t="s">
        <v>148</v>
      </c>
      <c r="X7" s="74" t="s">
        <v>147</v>
      </c>
      <c r="Y7" s="74" t="s">
        <v>146</v>
      </c>
      <c r="Z7" s="74" t="s">
        <v>258</v>
      </c>
      <c r="AA7" s="74" t="s">
        <v>144</v>
      </c>
      <c r="AB7" s="74" t="s">
        <v>142</v>
      </c>
      <c r="AC7" s="74" t="s">
        <v>141</v>
      </c>
      <c r="AD7" s="74" t="s">
        <v>140</v>
      </c>
      <c r="AE7" s="74" t="s">
        <v>139</v>
      </c>
      <c r="AF7" s="74" t="s">
        <v>138</v>
      </c>
      <c r="AG7" s="74" t="s">
        <v>137</v>
      </c>
      <c r="AH7" s="74" t="s">
        <v>136</v>
      </c>
      <c r="AI7" s="74" t="s">
        <v>135</v>
      </c>
      <c r="AJ7" s="74" t="s">
        <v>134</v>
      </c>
      <c r="AK7" s="74" t="s">
        <v>133</v>
      </c>
      <c r="AL7" s="74" t="s">
        <v>132</v>
      </c>
      <c r="AM7" s="74" t="s">
        <v>131</v>
      </c>
      <c r="AN7" s="74" t="s">
        <v>130</v>
      </c>
      <c r="AO7" s="74" t="s">
        <v>263</v>
      </c>
      <c r="AP7" s="74" t="s">
        <v>265</v>
      </c>
      <c r="AQ7" s="74" t="s">
        <v>129</v>
      </c>
      <c r="AR7" s="74" t="s">
        <v>128</v>
      </c>
      <c r="AS7" s="74" t="s">
        <v>127</v>
      </c>
      <c r="AT7" s="74" t="s">
        <v>125</v>
      </c>
      <c r="AU7" s="74" t="s">
        <v>123</v>
      </c>
      <c r="AV7" s="74" t="s">
        <v>122</v>
      </c>
      <c r="AW7" s="74" t="s">
        <v>120</v>
      </c>
      <c r="AX7" s="74" t="s">
        <v>113</v>
      </c>
      <c r="AY7" s="74" t="s">
        <v>112</v>
      </c>
      <c r="AZ7" s="74" t="s">
        <v>111</v>
      </c>
      <c r="BA7" s="74" t="s">
        <v>110</v>
      </c>
      <c r="BB7" s="74" t="s">
        <v>109</v>
      </c>
      <c r="BC7" s="74" t="s">
        <v>108</v>
      </c>
      <c r="BD7" s="74" t="s">
        <v>107</v>
      </c>
      <c r="BE7" s="74" t="s">
        <v>106</v>
      </c>
      <c r="BF7" s="74" t="s">
        <v>105</v>
      </c>
      <c r="BG7" s="74" t="s">
        <v>104</v>
      </c>
      <c r="BH7" s="74" t="s">
        <v>103</v>
      </c>
      <c r="BI7" s="74" t="s">
        <v>102</v>
      </c>
      <c r="BJ7" s="74" t="s">
        <v>101</v>
      </c>
      <c r="BK7" s="74" t="s">
        <v>100</v>
      </c>
      <c r="BL7" s="74" t="s">
        <v>99</v>
      </c>
      <c r="BM7" s="74" t="s">
        <v>98</v>
      </c>
      <c r="BN7" s="74" t="s">
        <v>97</v>
      </c>
      <c r="BO7" s="74" t="s">
        <v>96</v>
      </c>
      <c r="BP7" s="74" t="s">
        <v>95</v>
      </c>
      <c r="BQ7" s="74" t="s">
        <v>94</v>
      </c>
      <c r="BR7" s="74" t="s">
        <v>93</v>
      </c>
      <c r="BS7" s="74" t="s">
        <v>92</v>
      </c>
      <c r="BT7" s="74" t="s">
        <v>91</v>
      </c>
      <c r="BU7" s="74" t="s">
        <v>90</v>
      </c>
      <c r="BV7" s="74" t="s">
        <v>89</v>
      </c>
      <c r="BW7" s="74" t="s">
        <v>88</v>
      </c>
      <c r="BX7" s="74" t="s">
        <v>87</v>
      </c>
      <c r="BY7" s="74" t="s">
        <v>86</v>
      </c>
      <c r="BZ7" s="74" t="s">
        <v>85</v>
      </c>
      <c r="CA7" s="74" t="s">
        <v>84</v>
      </c>
      <c r="CB7" s="74" t="s">
        <v>82</v>
      </c>
      <c r="CC7" s="74" t="s">
        <v>81</v>
      </c>
      <c r="CD7" s="74" t="s">
        <v>80</v>
      </c>
      <c r="CE7" s="74" t="s">
        <v>79</v>
      </c>
      <c r="CF7" s="74" t="s">
        <v>78</v>
      </c>
      <c r="CG7" s="74" t="s">
        <v>77</v>
      </c>
      <c r="CH7" s="74" t="s">
        <v>76</v>
      </c>
      <c r="CI7" s="74" t="s">
        <v>75</v>
      </c>
      <c r="CJ7" s="74" t="s">
        <v>74</v>
      </c>
      <c r="CK7" s="74" t="s">
        <v>73</v>
      </c>
      <c r="CL7" s="74" t="s">
        <v>72</v>
      </c>
      <c r="CM7" s="74" t="s">
        <v>66</v>
      </c>
      <c r="CN7" s="74" t="s">
        <v>65</v>
      </c>
    </row>
    <row r="8" spans="3:92" ht="72">
      <c r="C8" s="78" t="s">
        <v>282</v>
      </c>
      <c r="D8" s="78" t="s">
        <v>283</v>
      </c>
      <c r="E8" s="78" t="s">
        <v>284</v>
      </c>
      <c r="F8" s="78" t="s">
        <v>285</v>
      </c>
      <c r="G8" s="78" t="s">
        <v>286</v>
      </c>
      <c r="H8" s="78" t="s">
        <v>287</v>
      </c>
      <c r="I8" s="78" t="s">
        <v>288</v>
      </c>
      <c r="J8" s="78" t="s">
        <v>289</v>
      </c>
      <c r="K8" s="78" t="s">
        <v>290</v>
      </c>
      <c r="L8" s="78" t="s">
        <v>291</v>
      </c>
      <c r="M8" s="78" t="s">
        <v>292</v>
      </c>
      <c r="N8" s="78" t="s">
        <v>293</v>
      </c>
      <c r="V8" s="94" t="s">
        <v>173</v>
      </c>
      <c r="W8" s="94" t="s">
        <v>172</v>
      </c>
      <c r="X8" s="94" t="s">
        <v>171</v>
      </c>
      <c r="Y8" s="94" t="s">
        <v>257</v>
      </c>
      <c r="Z8" s="94" t="s">
        <v>248</v>
      </c>
      <c r="AA8" s="94" t="s">
        <v>259</v>
      </c>
      <c r="AB8" s="94" t="s">
        <v>260</v>
      </c>
      <c r="AC8" s="94" t="s">
        <v>216</v>
      </c>
      <c r="AD8" s="94" t="s">
        <v>215</v>
      </c>
      <c r="AE8" s="94" t="s">
        <v>242</v>
      </c>
      <c r="AF8" s="94" t="s">
        <v>241</v>
      </c>
      <c r="AG8" s="94" t="s">
        <v>240</v>
      </c>
      <c r="AH8" s="94" t="s">
        <v>239</v>
      </c>
      <c r="AI8" s="94" t="s">
        <v>238</v>
      </c>
      <c r="AJ8" s="94" t="s">
        <v>237</v>
      </c>
      <c r="AK8" s="94" t="s">
        <v>236</v>
      </c>
      <c r="AL8" s="94" t="s">
        <v>219</v>
      </c>
      <c r="AM8" s="94" t="s">
        <v>235</v>
      </c>
      <c r="AN8" s="94" t="s">
        <v>234</v>
      </c>
      <c r="AO8" s="94" t="s">
        <v>264</v>
      </c>
      <c r="AP8" s="94" t="s">
        <v>266</v>
      </c>
      <c r="AQ8" s="94" t="s">
        <v>233</v>
      </c>
      <c r="AR8" s="94" t="s">
        <v>232</v>
      </c>
      <c r="AS8" s="94" t="s">
        <v>198</v>
      </c>
      <c r="AT8" s="94" t="s">
        <v>126</v>
      </c>
      <c r="AU8" s="94" t="s">
        <v>124</v>
      </c>
      <c r="AV8" s="94" t="s">
        <v>231</v>
      </c>
      <c r="AW8" s="94" t="s">
        <v>121</v>
      </c>
      <c r="AX8" s="94" t="s">
        <v>166</v>
      </c>
      <c r="AY8" s="94" t="s">
        <v>223</v>
      </c>
      <c r="AZ8" s="94" t="s">
        <v>222</v>
      </c>
      <c r="BA8" s="94" t="s">
        <v>221</v>
      </c>
      <c r="BB8" s="94" t="s">
        <v>235</v>
      </c>
      <c r="BC8" s="94" t="s">
        <v>220</v>
      </c>
      <c r="BD8" s="94" t="s">
        <v>219</v>
      </c>
      <c r="BE8" s="94" t="s">
        <v>268</v>
      </c>
      <c r="BF8" s="94" t="s">
        <v>166</v>
      </c>
      <c r="BG8" s="94" t="s">
        <v>216</v>
      </c>
      <c r="BH8" s="94" t="s">
        <v>215</v>
      </c>
      <c r="BI8" s="94" t="s">
        <v>214</v>
      </c>
      <c r="BJ8" s="94" t="s">
        <v>213</v>
      </c>
      <c r="BK8" s="94" t="s">
        <v>212</v>
      </c>
      <c r="BL8" s="94" t="s">
        <v>211</v>
      </c>
      <c r="BM8" s="94" t="s">
        <v>210</v>
      </c>
      <c r="BN8" s="94" t="s">
        <v>209</v>
      </c>
      <c r="BO8" s="94" t="s">
        <v>208</v>
      </c>
      <c r="BP8" s="94" t="s">
        <v>207</v>
      </c>
      <c r="BQ8" s="94" t="s">
        <v>206</v>
      </c>
      <c r="BR8" s="94" t="s">
        <v>205</v>
      </c>
      <c r="BS8" s="94" t="s">
        <v>204</v>
      </c>
      <c r="BT8" s="94" t="s">
        <v>203</v>
      </c>
      <c r="BU8" s="94" t="s">
        <v>202</v>
      </c>
      <c r="BV8" s="94" t="s">
        <v>201</v>
      </c>
      <c r="BW8" s="94" t="s">
        <v>200</v>
      </c>
      <c r="BX8" s="94" t="s">
        <v>199</v>
      </c>
      <c r="BY8" s="94" t="s">
        <v>198</v>
      </c>
      <c r="BZ8" s="94" t="s">
        <v>197</v>
      </c>
      <c r="CA8" s="94" t="s">
        <v>173</v>
      </c>
      <c r="CB8" s="94" t="s">
        <v>166</v>
      </c>
      <c r="CC8" s="94" t="s">
        <v>271</v>
      </c>
      <c r="CD8" s="94" t="s">
        <v>272</v>
      </c>
      <c r="CE8" s="94" t="s">
        <v>273</v>
      </c>
      <c r="CF8" s="94" t="s">
        <v>274</v>
      </c>
      <c r="CG8" s="94" t="s">
        <v>275</v>
      </c>
      <c r="CH8" s="94" t="s">
        <v>276</v>
      </c>
      <c r="CI8" s="94" t="s">
        <v>277</v>
      </c>
      <c r="CJ8" s="94" t="s">
        <v>278</v>
      </c>
      <c r="CK8" s="94" t="s">
        <v>279</v>
      </c>
      <c r="CL8" s="94" t="s">
        <v>280</v>
      </c>
      <c r="CM8" s="94" t="s">
        <v>166</v>
      </c>
      <c r="CN8" s="94" t="s">
        <v>165</v>
      </c>
    </row>
    <row r="9" spans="3:14" ht="25.5">
      <c r="C9" s="79" t="s">
        <v>282</v>
      </c>
      <c r="D9" s="79"/>
      <c r="E9" s="79" t="s">
        <v>282</v>
      </c>
      <c r="F9" s="79" t="s">
        <v>282</v>
      </c>
      <c r="G9" s="79" t="s">
        <v>282</v>
      </c>
      <c r="H9" s="79" t="s">
        <v>282</v>
      </c>
      <c r="I9" s="79" t="s">
        <v>282</v>
      </c>
      <c r="J9" s="79" t="s">
        <v>282</v>
      </c>
      <c r="K9" s="79" t="s">
        <v>282</v>
      </c>
      <c r="L9" s="79" t="s">
        <v>282</v>
      </c>
      <c r="M9" s="79" t="s">
        <v>282</v>
      </c>
      <c r="N9" s="79" t="s">
        <v>282</v>
      </c>
    </row>
    <row r="10" spans="1:92" ht="12.75">
      <c r="A10" s="82"/>
      <c r="B10" s="82"/>
      <c r="C10" s="83"/>
      <c r="D10" s="83"/>
      <c r="E10" s="83"/>
      <c r="F10" s="83"/>
      <c r="G10" s="83"/>
      <c r="H10" s="83"/>
      <c r="I10" s="83"/>
      <c r="J10" s="83"/>
      <c r="K10" s="83"/>
      <c r="L10" s="83"/>
      <c r="M10" s="83"/>
      <c r="N10" s="83"/>
      <c r="T10" s="68" t="s">
        <v>296</v>
      </c>
      <c r="U10" s="95">
        <f>SUM(V10:CN10)</f>
        <v>23065.0959</v>
      </c>
      <c r="V10" s="96">
        <v>1159.1000000000001</v>
      </c>
      <c r="W10" s="96">
        <v>5.7604500000000005</v>
      </c>
      <c r="X10" s="96">
        <v>5.7604500000000005</v>
      </c>
      <c r="Y10" s="96">
        <v>0</v>
      </c>
      <c r="Z10" s="96">
        <v>0</v>
      </c>
      <c r="AA10" s="96">
        <v>0</v>
      </c>
      <c r="AB10" s="96">
        <v>120.5502</v>
      </c>
      <c r="AC10" s="96">
        <v>0</v>
      </c>
      <c r="AD10" s="96">
        <v>0</v>
      </c>
      <c r="AE10" s="96">
        <v>0</v>
      </c>
      <c r="AF10" s="96">
        <v>0</v>
      </c>
      <c r="AG10" s="96">
        <v>0</v>
      </c>
      <c r="AH10" s="96">
        <v>0</v>
      </c>
      <c r="AI10" s="96">
        <v>0</v>
      </c>
      <c r="AJ10" s="96">
        <v>0</v>
      </c>
      <c r="AK10" s="96">
        <v>0</v>
      </c>
      <c r="AL10" s="96">
        <v>0</v>
      </c>
      <c r="AM10" s="96">
        <v>0</v>
      </c>
      <c r="AN10" s="96">
        <v>0</v>
      </c>
      <c r="AO10" s="96">
        <v>0</v>
      </c>
      <c r="AP10" s="96">
        <v>0</v>
      </c>
      <c r="AQ10" s="96">
        <v>0</v>
      </c>
      <c r="AR10" s="96">
        <v>0</v>
      </c>
      <c r="AS10" s="96">
        <v>0</v>
      </c>
      <c r="AT10" s="96">
        <v>0</v>
      </c>
      <c r="AU10" s="96">
        <v>0</v>
      </c>
      <c r="AV10" s="96">
        <v>0</v>
      </c>
      <c r="AW10" s="96">
        <v>0</v>
      </c>
      <c r="AX10" s="96">
        <v>0</v>
      </c>
      <c r="AY10" s="96">
        <v>0</v>
      </c>
      <c r="AZ10" s="96">
        <v>0</v>
      </c>
      <c r="BA10" s="96">
        <v>0</v>
      </c>
      <c r="BB10" s="96">
        <v>0</v>
      </c>
      <c r="BC10" s="96">
        <v>0</v>
      </c>
      <c r="BD10" s="96">
        <v>0</v>
      </c>
      <c r="BE10" s="96">
        <v>0</v>
      </c>
      <c r="BF10" s="96">
        <v>0</v>
      </c>
      <c r="BG10" s="96">
        <v>0</v>
      </c>
      <c r="BH10" s="96">
        <v>0</v>
      </c>
      <c r="BI10" s="96">
        <v>0</v>
      </c>
      <c r="BJ10" s="96">
        <v>0</v>
      </c>
      <c r="BK10" s="96">
        <v>0</v>
      </c>
      <c r="BL10" s="96">
        <v>0</v>
      </c>
      <c r="BM10" s="96">
        <v>0</v>
      </c>
      <c r="BN10" s="96">
        <v>0</v>
      </c>
      <c r="BO10" s="96">
        <v>0</v>
      </c>
      <c r="BP10" s="96">
        <v>0</v>
      </c>
      <c r="BQ10" s="96">
        <v>0</v>
      </c>
      <c r="BR10" s="96">
        <v>0</v>
      </c>
      <c r="BS10" s="96">
        <v>0</v>
      </c>
      <c r="BT10" s="96">
        <v>0</v>
      </c>
      <c r="BU10" s="96">
        <v>0</v>
      </c>
      <c r="BV10" s="96">
        <v>0</v>
      </c>
      <c r="BW10" s="96">
        <v>0</v>
      </c>
      <c r="BX10" s="96">
        <v>0</v>
      </c>
      <c r="BY10" s="96">
        <v>0</v>
      </c>
      <c r="BZ10" s="96">
        <v>0</v>
      </c>
      <c r="CA10" s="96">
        <v>0</v>
      </c>
      <c r="CB10" s="96">
        <v>0</v>
      </c>
      <c r="CC10" s="96">
        <v>0</v>
      </c>
      <c r="CD10" s="96">
        <v>0</v>
      </c>
      <c r="CE10" s="96">
        <v>0</v>
      </c>
      <c r="CF10" s="96">
        <v>0</v>
      </c>
      <c r="CG10" s="96">
        <v>0</v>
      </c>
      <c r="CH10" s="96">
        <v>0</v>
      </c>
      <c r="CI10" s="96">
        <v>0</v>
      </c>
      <c r="CJ10" s="96">
        <v>0</v>
      </c>
      <c r="CK10" s="96">
        <v>13345.529999999999</v>
      </c>
      <c r="CL10" s="96">
        <v>5575.375</v>
      </c>
      <c r="CM10" s="96">
        <v>1888.6198</v>
      </c>
      <c r="CN10" s="96">
        <v>964.4</v>
      </c>
    </row>
    <row r="11" spans="1:92" ht="12.75">
      <c r="A11" s="84"/>
      <c r="B11" s="84"/>
      <c r="C11" s="85"/>
      <c r="D11" s="85"/>
      <c r="E11" s="85"/>
      <c r="F11" s="85"/>
      <c r="G11" s="85"/>
      <c r="H11" s="85"/>
      <c r="I11" s="85"/>
      <c r="J11" s="85"/>
      <c r="K11" s="85"/>
      <c r="L11" s="85"/>
      <c r="M11" s="85"/>
      <c r="N11" s="85"/>
      <c r="U11" s="95"/>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row>
    <row r="12" spans="1:92" ht="12.75">
      <c r="A12" s="84" t="s">
        <v>218</v>
      </c>
      <c r="B12" s="84"/>
      <c r="C12" s="83">
        <f aca="true" t="shared" si="0" ref="C12:C30">SUM(D12:N12)</f>
        <v>2549.792</v>
      </c>
      <c r="D12" s="83"/>
      <c r="E12" s="83">
        <v>0</v>
      </c>
      <c r="F12" s="83">
        <v>0</v>
      </c>
      <c r="G12" s="83">
        <v>1111.462</v>
      </c>
      <c r="H12" s="83">
        <v>1438.33</v>
      </c>
      <c r="I12" s="83">
        <v>0</v>
      </c>
      <c r="J12" s="83">
        <v>0</v>
      </c>
      <c r="K12" s="83">
        <v>0</v>
      </c>
      <c r="L12" s="83">
        <v>0</v>
      </c>
      <c r="M12" s="83">
        <v>0</v>
      </c>
      <c r="N12" s="83">
        <v>0</v>
      </c>
      <c r="T12" s="68" t="s">
        <v>298</v>
      </c>
      <c r="U12" s="95">
        <f>SUM(V12:CN12)</f>
        <v>2133.3683</v>
      </c>
      <c r="V12" s="96">
        <v>142.48</v>
      </c>
      <c r="W12" s="96">
        <v>12.0083</v>
      </c>
      <c r="X12" s="96">
        <v>0</v>
      </c>
      <c r="Y12" s="96">
        <v>0</v>
      </c>
      <c r="Z12" s="96">
        <v>0</v>
      </c>
      <c r="AA12" s="96">
        <v>8.6</v>
      </c>
      <c r="AB12" s="96">
        <v>16.724700000000002</v>
      </c>
      <c r="AC12" s="96">
        <v>104.96000000000001</v>
      </c>
      <c r="AD12" s="96">
        <v>0</v>
      </c>
      <c r="AE12" s="96">
        <v>0</v>
      </c>
      <c r="AF12" s="96">
        <v>0</v>
      </c>
      <c r="AG12" s="96">
        <v>0</v>
      </c>
      <c r="AH12" s="96">
        <v>0</v>
      </c>
      <c r="AI12" s="96">
        <v>0</v>
      </c>
      <c r="AJ12" s="96">
        <v>0</v>
      </c>
      <c r="AK12" s="96">
        <v>0</v>
      </c>
      <c r="AL12" s="96">
        <v>0</v>
      </c>
      <c r="AM12" s="96">
        <v>0</v>
      </c>
      <c r="AN12" s="96">
        <v>0</v>
      </c>
      <c r="AO12" s="96">
        <v>0</v>
      </c>
      <c r="AP12" s="96">
        <v>0</v>
      </c>
      <c r="AQ12" s="96">
        <v>0</v>
      </c>
      <c r="AR12" s="96">
        <v>0</v>
      </c>
      <c r="AS12" s="96">
        <v>0</v>
      </c>
      <c r="AT12" s="96">
        <v>0</v>
      </c>
      <c r="AU12" s="96">
        <v>0</v>
      </c>
      <c r="AV12" s="96">
        <v>0</v>
      </c>
      <c r="AW12" s="96">
        <v>0</v>
      </c>
      <c r="AX12" s="96">
        <v>11.1498</v>
      </c>
      <c r="AY12" s="96">
        <v>0</v>
      </c>
      <c r="AZ12" s="96">
        <v>369</v>
      </c>
      <c r="BA12" s="96">
        <v>0</v>
      </c>
      <c r="BB12" s="96">
        <v>0</v>
      </c>
      <c r="BC12" s="96">
        <v>0</v>
      </c>
      <c r="BD12" s="96">
        <v>0</v>
      </c>
      <c r="BE12" s="96">
        <v>160</v>
      </c>
      <c r="BF12" s="96">
        <v>52.03240000000001</v>
      </c>
      <c r="BG12" s="96">
        <v>961.8</v>
      </c>
      <c r="BH12" s="96">
        <v>0</v>
      </c>
      <c r="BI12" s="96">
        <v>0</v>
      </c>
      <c r="BJ12" s="96">
        <v>0</v>
      </c>
      <c r="BK12" s="96">
        <v>0</v>
      </c>
      <c r="BL12" s="96">
        <v>0</v>
      </c>
      <c r="BM12" s="96">
        <v>0</v>
      </c>
      <c r="BN12" s="96">
        <v>0</v>
      </c>
      <c r="BO12" s="96">
        <v>0</v>
      </c>
      <c r="BP12" s="96">
        <v>0</v>
      </c>
      <c r="BQ12" s="96">
        <v>0</v>
      </c>
      <c r="BR12" s="96">
        <v>0</v>
      </c>
      <c r="BS12" s="96">
        <v>0</v>
      </c>
      <c r="BT12" s="96">
        <v>0</v>
      </c>
      <c r="BU12" s="96">
        <v>0</v>
      </c>
      <c r="BV12" s="96">
        <v>0</v>
      </c>
      <c r="BW12" s="96">
        <v>0</v>
      </c>
      <c r="BX12" s="96">
        <v>0</v>
      </c>
      <c r="BY12" s="96">
        <v>0</v>
      </c>
      <c r="BZ12" s="96">
        <v>0</v>
      </c>
      <c r="CA12" s="96">
        <v>99.49000000000001</v>
      </c>
      <c r="CB12" s="96">
        <v>105.9231</v>
      </c>
      <c r="CC12" s="96">
        <v>0</v>
      </c>
      <c r="CD12" s="96">
        <v>0</v>
      </c>
      <c r="CE12" s="96">
        <v>0</v>
      </c>
      <c r="CF12" s="96">
        <v>0</v>
      </c>
      <c r="CG12" s="96">
        <v>0</v>
      </c>
      <c r="CH12" s="96">
        <v>0</v>
      </c>
      <c r="CI12" s="96">
        <v>0</v>
      </c>
      <c r="CJ12" s="96">
        <v>0</v>
      </c>
      <c r="CK12" s="96">
        <v>0</v>
      </c>
      <c r="CL12" s="96">
        <v>0</v>
      </c>
      <c r="CM12" s="96">
        <v>0</v>
      </c>
      <c r="CN12" s="96">
        <v>89.2</v>
      </c>
    </row>
    <row r="13" spans="1:92" ht="12.75">
      <c r="A13" s="84"/>
      <c r="B13" s="84"/>
      <c r="C13" s="83"/>
      <c r="D13" s="83"/>
      <c r="E13" s="83"/>
      <c r="F13" s="83"/>
      <c r="G13" s="83"/>
      <c r="H13" s="83"/>
      <c r="I13" s="83"/>
      <c r="J13" s="83"/>
      <c r="K13" s="83"/>
      <c r="L13" s="83"/>
      <c r="M13" s="83"/>
      <c r="N13" s="83"/>
      <c r="U13" s="95"/>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row>
    <row r="14" spans="1:92" ht="12.75">
      <c r="A14" s="84" t="s">
        <v>297</v>
      </c>
      <c r="B14" s="84"/>
      <c r="C14" s="83">
        <f t="shared" si="0"/>
        <v>5187.99</v>
      </c>
      <c r="D14" s="83"/>
      <c r="E14" s="83">
        <v>4144.73</v>
      </c>
      <c r="F14" s="83">
        <v>0</v>
      </c>
      <c r="G14" s="83">
        <v>0</v>
      </c>
      <c r="H14" s="83">
        <v>0</v>
      </c>
      <c r="I14" s="83">
        <v>1043.26</v>
      </c>
      <c r="J14" s="83">
        <v>0</v>
      </c>
      <c r="K14" s="83">
        <v>0</v>
      </c>
      <c r="L14" s="83">
        <v>0</v>
      </c>
      <c r="M14" s="83">
        <v>0</v>
      </c>
      <c r="N14" s="83">
        <v>0</v>
      </c>
      <c r="T14" s="68" t="s">
        <v>300</v>
      </c>
      <c r="U14" s="95">
        <f>SUM(V14:CN14)</f>
        <v>1679.65</v>
      </c>
      <c r="V14" s="96">
        <v>111.49999999999999</v>
      </c>
      <c r="W14" s="96">
        <v>12</v>
      </c>
      <c r="X14" s="96">
        <v>0</v>
      </c>
      <c r="Y14" s="96">
        <v>0</v>
      </c>
      <c r="Z14" s="96">
        <v>0</v>
      </c>
      <c r="AA14" s="96">
        <v>8.6</v>
      </c>
      <c r="AB14" s="96">
        <v>13.1679</v>
      </c>
      <c r="AC14" s="96">
        <v>0</v>
      </c>
      <c r="AD14" s="96">
        <v>94.9</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8.778599999999999</v>
      </c>
      <c r="AY14" s="96">
        <v>0</v>
      </c>
      <c r="AZ14" s="96">
        <v>0</v>
      </c>
      <c r="BA14" s="96">
        <v>0</v>
      </c>
      <c r="BB14" s="96">
        <v>0</v>
      </c>
      <c r="BC14" s="96">
        <v>0</v>
      </c>
      <c r="BD14" s="96">
        <v>0</v>
      </c>
      <c r="BE14" s="96">
        <v>430</v>
      </c>
      <c r="BF14" s="96">
        <v>42.429899999999996</v>
      </c>
      <c r="BG14" s="96">
        <v>0</v>
      </c>
      <c r="BH14" s="96">
        <v>735</v>
      </c>
      <c r="BI14" s="96">
        <v>0</v>
      </c>
      <c r="BJ14" s="96">
        <v>0</v>
      </c>
      <c r="BK14" s="96">
        <v>0</v>
      </c>
      <c r="BL14" s="96">
        <v>0</v>
      </c>
      <c r="BM14" s="96">
        <v>0</v>
      </c>
      <c r="BN14" s="96">
        <v>0</v>
      </c>
      <c r="BO14" s="96">
        <v>0</v>
      </c>
      <c r="BP14" s="96">
        <v>0</v>
      </c>
      <c r="BQ14" s="96">
        <v>0</v>
      </c>
      <c r="BR14" s="96">
        <v>0</v>
      </c>
      <c r="BS14" s="96">
        <v>0</v>
      </c>
      <c r="BT14" s="96">
        <v>0</v>
      </c>
      <c r="BU14" s="96">
        <v>0</v>
      </c>
      <c r="BV14" s="96">
        <v>0</v>
      </c>
      <c r="BW14" s="96">
        <v>0</v>
      </c>
      <c r="BX14" s="96">
        <v>0</v>
      </c>
      <c r="BY14" s="96">
        <v>0</v>
      </c>
      <c r="BZ14" s="96">
        <v>0</v>
      </c>
      <c r="CA14" s="96">
        <v>71.11</v>
      </c>
      <c r="CB14" s="96">
        <v>81.93360000000001</v>
      </c>
      <c r="CC14" s="96">
        <v>0</v>
      </c>
      <c r="CD14" s="96">
        <v>0</v>
      </c>
      <c r="CE14" s="96">
        <v>0</v>
      </c>
      <c r="CF14" s="96">
        <v>0</v>
      </c>
      <c r="CG14" s="96">
        <v>0</v>
      </c>
      <c r="CH14" s="96">
        <v>0</v>
      </c>
      <c r="CI14" s="96">
        <v>0</v>
      </c>
      <c r="CJ14" s="96">
        <v>0</v>
      </c>
      <c r="CK14" s="96">
        <v>0</v>
      </c>
      <c r="CL14" s="96">
        <v>0</v>
      </c>
      <c r="CM14" s="96">
        <v>0</v>
      </c>
      <c r="CN14" s="96">
        <v>70.23</v>
      </c>
    </row>
    <row r="15" spans="1:92" ht="12.75">
      <c r="A15" s="84"/>
      <c r="B15" s="84"/>
      <c r="C15" s="83"/>
      <c r="D15" s="83"/>
      <c r="E15" s="83"/>
      <c r="F15" s="83"/>
      <c r="G15" s="83"/>
      <c r="H15" s="83"/>
      <c r="I15" s="83"/>
      <c r="J15" s="83"/>
      <c r="K15" s="83"/>
      <c r="L15" s="83"/>
      <c r="M15" s="83"/>
      <c r="N15" s="83"/>
      <c r="U15" s="95"/>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row>
    <row r="16" spans="1:92" ht="26.25" customHeight="1">
      <c r="A16" s="84" t="s">
        <v>299</v>
      </c>
      <c r="B16" s="84"/>
      <c r="C16" s="83">
        <f>SUM(D16:N16)</f>
        <v>6672.8268</v>
      </c>
      <c r="D16" s="83">
        <v>2339.6800000000003</v>
      </c>
      <c r="E16" s="83">
        <v>1358.18245</v>
      </c>
      <c r="F16" s="83">
        <v>485.05335</v>
      </c>
      <c r="G16" s="83">
        <v>0</v>
      </c>
      <c r="H16" s="83">
        <v>0</v>
      </c>
      <c r="I16" s="83">
        <v>2037.8700000000003</v>
      </c>
      <c r="J16" s="83">
        <v>141.995</v>
      </c>
      <c r="K16" s="83">
        <v>79.989</v>
      </c>
      <c r="L16" s="83">
        <v>79.989</v>
      </c>
      <c r="M16" s="83">
        <v>75.034</v>
      </c>
      <c r="N16" s="83">
        <v>75.034</v>
      </c>
      <c r="T16" s="68" t="s">
        <v>301</v>
      </c>
      <c r="U16" s="95">
        <f>SUM(V16:CN16)</f>
        <v>3537.1299999999997</v>
      </c>
      <c r="V16" s="96">
        <v>107.15899999999998</v>
      </c>
      <c r="W16" s="96">
        <v>0</v>
      </c>
      <c r="X16" s="96">
        <v>0</v>
      </c>
      <c r="Y16" s="96">
        <v>32.972</v>
      </c>
      <c r="Z16" s="96">
        <v>24.729000000000003</v>
      </c>
      <c r="AA16" s="96">
        <v>0</v>
      </c>
      <c r="AB16" s="96">
        <v>15.405500000000002</v>
      </c>
      <c r="AC16" s="96">
        <v>0</v>
      </c>
      <c r="AD16" s="96">
        <v>0</v>
      </c>
      <c r="AE16" s="96">
        <v>36.52</v>
      </c>
      <c r="AF16" s="96">
        <v>12.5</v>
      </c>
      <c r="AG16" s="96">
        <v>62.739999999999995</v>
      </c>
      <c r="AH16" s="96">
        <v>0</v>
      </c>
      <c r="AI16" s="96">
        <v>0</v>
      </c>
      <c r="AJ16" s="96">
        <v>0</v>
      </c>
      <c r="AK16" s="96">
        <v>0</v>
      </c>
      <c r="AL16" s="96">
        <v>0</v>
      </c>
      <c r="AM16" s="96">
        <v>0</v>
      </c>
      <c r="AN16" s="96">
        <v>0</v>
      </c>
      <c r="AO16" s="96">
        <v>0</v>
      </c>
      <c r="AP16" s="96">
        <v>0</v>
      </c>
      <c r="AQ16" s="96">
        <v>0</v>
      </c>
      <c r="AR16" s="96">
        <v>0</v>
      </c>
      <c r="AS16" s="96">
        <v>5</v>
      </c>
      <c r="AT16" s="96">
        <v>3.45</v>
      </c>
      <c r="AU16" s="96">
        <v>0</v>
      </c>
      <c r="AV16" s="96">
        <v>0</v>
      </c>
      <c r="AW16" s="96">
        <v>0</v>
      </c>
      <c r="AX16" s="96">
        <v>12.3244</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c r="BR16" s="96">
        <v>0</v>
      </c>
      <c r="BS16" s="96">
        <v>0</v>
      </c>
      <c r="BT16" s="96">
        <v>2436.1</v>
      </c>
      <c r="BU16" s="96">
        <v>0</v>
      </c>
      <c r="BV16" s="96">
        <v>0</v>
      </c>
      <c r="BW16" s="96">
        <v>0</v>
      </c>
      <c r="BX16" s="96">
        <v>0</v>
      </c>
      <c r="BY16" s="96">
        <v>100</v>
      </c>
      <c r="BZ16" s="96">
        <v>0</v>
      </c>
      <c r="CA16" s="96">
        <v>259.96</v>
      </c>
      <c r="CB16" s="96">
        <v>280.3801</v>
      </c>
      <c r="CC16" s="96">
        <v>0</v>
      </c>
      <c r="CD16" s="96">
        <v>0</v>
      </c>
      <c r="CE16" s="96">
        <v>0</v>
      </c>
      <c r="CF16" s="96">
        <v>0</v>
      </c>
      <c r="CG16" s="96">
        <v>0</v>
      </c>
      <c r="CH16" s="96">
        <v>0</v>
      </c>
      <c r="CI16" s="96">
        <v>0</v>
      </c>
      <c r="CJ16" s="96">
        <v>0</v>
      </c>
      <c r="CK16" s="96">
        <v>0</v>
      </c>
      <c r="CL16" s="96">
        <v>0</v>
      </c>
      <c r="CM16" s="96">
        <v>0</v>
      </c>
      <c r="CN16" s="96">
        <v>147.89</v>
      </c>
    </row>
    <row r="17" spans="1:92" ht="12.75">
      <c r="A17" s="84"/>
      <c r="B17" s="84"/>
      <c r="C17" s="83"/>
      <c r="D17" s="83"/>
      <c r="E17" s="83"/>
      <c r="F17" s="83"/>
      <c r="G17" s="83"/>
      <c r="H17" s="83"/>
      <c r="I17" s="83"/>
      <c r="J17" s="83"/>
      <c r="K17" s="83"/>
      <c r="L17" s="83"/>
      <c r="M17" s="83"/>
      <c r="N17" s="83"/>
      <c r="U17" s="95"/>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row>
    <row r="18" spans="1:92" ht="12.75">
      <c r="A18" s="84" t="s">
        <v>222</v>
      </c>
      <c r="B18" s="84"/>
      <c r="C18" s="83">
        <f t="shared" si="0"/>
        <v>28557.152730000005</v>
      </c>
      <c r="D18" s="83"/>
      <c r="E18" s="83">
        <v>24210.13636</v>
      </c>
      <c r="F18" s="83">
        <v>2388.16357</v>
      </c>
      <c r="G18" s="83">
        <v>707.6163</v>
      </c>
      <c r="H18" s="83">
        <v>0</v>
      </c>
      <c r="I18" s="83">
        <v>0</v>
      </c>
      <c r="J18" s="83">
        <v>358.41050000000007</v>
      </c>
      <c r="K18" s="83">
        <v>245.01800000000003</v>
      </c>
      <c r="L18" s="83">
        <v>157.772</v>
      </c>
      <c r="M18" s="83">
        <v>245.01800000000003</v>
      </c>
      <c r="N18" s="83">
        <v>245.01800000000003</v>
      </c>
      <c r="T18" s="68" t="s">
        <v>303</v>
      </c>
      <c r="U18" s="95">
        <f>SUM(V18:CN18)</f>
        <v>600.4029999999999</v>
      </c>
      <c r="V18" s="96">
        <v>41.22</v>
      </c>
      <c r="W18" s="96">
        <v>5.613000000000001</v>
      </c>
      <c r="X18" s="96">
        <v>0</v>
      </c>
      <c r="Y18" s="96">
        <v>0</v>
      </c>
      <c r="Z18" s="96">
        <v>0</v>
      </c>
      <c r="AA18" s="96">
        <v>1.7</v>
      </c>
      <c r="AB18" s="96">
        <v>4.7079</v>
      </c>
      <c r="AC18" s="96">
        <v>0</v>
      </c>
      <c r="AD18" s="96">
        <v>0</v>
      </c>
      <c r="AE18" s="96">
        <v>0</v>
      </c>
      <c r="AF18" s="96">
        <v>0</v>
      </c>
      <c r="AG18" s="96">
        <v>0</v>
      </c>
      <c r="AH18" s="96">
        <v>0</v>
      </c>
      <c r="AI18" s="96">
        <v>0</v>
      </c>
      <c r="AJ18" s="96">
        <v>0</v>
      </c>
      <c r="AK18" s="96">
        <v>17.14</v>
      </c>
      <c r="AL18" s="96">
        <v>0</v>
      </c>
      <c r="AM18" s="96">
        <v>0</v>
      </c>
      <c r="AN18" s="96">
        <v>0</v>
      </c>
      <c r="AO18" s="96">
        <v>0</v>
      </c>
      <c r="AP18" s="96">
        <v>0</v>
      </c>
      <c r="AQ18" s="96">
        <v>0</v>
      </c>
      <c r="AR18" s="96">
        <v>0</v>
      </c>
      <c r="AS18" s="96">
        <v>0</v>
      </c>
      <c r="AT18" s="96">
        <v>0</v>
      </c>
      <c r="AU18" s="96">
        <v>0</v>
      </c>
      <c r="AV18" s="96">
        <v>0</v>
      </c>
      <c r="AW18" s="96">
        <v>0</v>
      </c>
      <c r="AX18" s="96">
        <v>1.5693</v>
      </c>
      <c r="AY18" s="96">
        <v>0</v>
      </c>
      <c r="AZ18" s="96">
        <v>68.9</v>
      </c>
      <c r="BA18" s="96">
        <v>0</v>
      </c>
      <c r="BB18" s="96">
        <v>0</v>
      </c>
      <c r="BC18" s="96">
        <v>5.25</v>
      </c>
      <c r="BD18" s="96">
        <v>0</v>
      </c>
      <c r="BE18" s="96">
        <v>0</v>
      </c>
      <c r="BF18" s="96">
        <v>7.323400000000001</v>
      </c>
      <c r="BG18" s="96">
        <v>0</v>
      </c>
      <c r="BH18" s="96">
        <v>0</v>
      </c>
      <c r="BI18" s="96">
        <v>0</v>
      </c>
      <c r="BJ18" s="96">
        <v>0</v>
      </c>
      <c r="BK18" s="96">
        <v>0</v>
      </c>
      <c r="BL18" s="96">
        <v>0</v>
      </c>
      <c r="BM18" s="96">
        <v>0</v>
      </c>
      <c r="BN18" s="96">
        <v>357.85</v>
      </c>
      <c r="BO18" s="96">
        <v>0</v>
      </c>
      <c r="BP18" s="96">
        <v>0</v>
      </c>
      <c r="BQ18" s="96">
        <v>0</v>
      </c>
      <c r="BR18" s="96">
        <v>0</v>
      </c>
      <c r="BS18" s="96">
        <v>0</v>
      </c>
      <c r="BT18" s="96">
        <v>0</v>
      </c>
      <c r="BU18" s="96">
        <v>0</v>
      </c>
      <c r="BV18" s="96">
        <v>0</v>
      </c>
      <c r="BW18" s="96">
        <v>0</v>
      </c>
      <c r="BX18" s="96">
        <v>0</v>
      </c>
      <c r="BY18" s="96">
        <v>0</v>
      </c>
      <c r="BZ18" s="96">
        <v>0</v>
      </c>
      <c r="CA18" s="96">
        <v>25.310000000000002</v>
      </c>
      <c r="CB18" s="96">
        <v>38.7094</v>
      </c>
      <c r="CC18" s="96">
        <v>0</v>
      </c>
      <c r="CD18" s="96">
        <v>0</v>
      </c>
      <c r="CE18" s="96">
        <v>0</v>
      </c>
      <c r="CF18" s="96">
        <v>0</v>
      </c>
      <c r="CG18" s="96">
        <v>0</v>
      </c>
      <c r="CH18" s="96">
        <v>0</v>
      </c>
      <c r="CI18" s="96">
        <v>0</v>
      </c>
      <c r="CJ18" s="96">
        <v>0</v>
      </c>
      <c r="CK18" s="96">
        <v>0</v>
      </c>
      <c r="CL18" s="96">
        <v>0</v>
      </c>
      <c r="CM18" s="96">
        <v>0</v>
      </c>
      <c r="CN18" s="96">
        <v>25.11</v>
      </c>
    </row>
    <row r="19" spans="1:92" ht="12.75">
      <c r="A19" s="84"/>
      <c r="B19" s="84"/>
      <c r="C19" s="83"/>
      <c r="D19" s="83"/>
      <c r="E19" s="83"/>
      <c r="F19" s="83"/>
      <c r="G19" s="83"/>
      <c r="H19" s="83"/>
      <c r="I19" s="83"/>
      <c r="J19" s="83"/>
      <c r="K19" s="83"/>
      <c r="L19" s="83"/>
      <c r="M19" s="83"/>
      <c r="N19" s="83"/>
      <c r="U19" s="95"/>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1:92" ht="12.75">
      <c r="A20" s="84" t="s">
        <v>302</v>
      </c>
      <c r="B20" s="84"/>
      <c r="C20" s="83">
        <f t="shared" si="0"/>
        <v>17752.0009</v>
      </c>
      <c r="D20" s="83">
        <v>17752.0009</v>
      </c>
      <c r="E20" s="83"/>
      <c r="F20" s="83"/>
      <c r="G20" s="83">
        <v>0</v>
      </c>
      <c r="H20" s="83"/>
      <c r="I20" s="83"/>
      <c r="J20" s="83">
        <v>0</v>
      </c>
      <c r="K20" s="83">
        <v>0</v>
      </c>
      <c r="L20" s="83">
        <v>0</v>
      </c>
      <c r="M20" s="83">
        <v>0</v>
      </c>
      <c r="N20" s="83">
        <v>0</v>
      </c>
      <c r="T20" s="68" t="s">
        <v>304</v>
      </c>
      <c r="U20" s="95">
        <f>SUM(V20:CN20)</f>
        <v>298.8785</v>
      </c>
      <c r="V20" s="96">
        <v>20.37</v>
      </c>
      <c r="W20" s="96">
        <v>2.4285</v>
      </c>
      <c r="X20" s="96">
        <v>0</v>
      </c>
      <c r="Y20" s="96">
        <v>0</v>
      </c>
      <c r="Z20" s="96">
        <v>0</v>
      </c>
      <c r="AA20" s="96">
        <v>1.7</v>
      </c>
      <c r="AB20" s="96">
        <v>2.3436</v>
      </c>
      <c r="AC20" s="96">
        <v>0</v>
      </c>
      <c r="AD20" s="96">
        <v>0</v>
      </c>
      <c r="AE20" s="96">
        <v>0</v>
      </c>
      <c r="AF20" s="96">
        <v>0</v>
      </c>
      <c r="AG20" s="96">
        <v>0</v>
      </c>
      <c r="AH20" s="96">
        <v>0</v>
      </c>
      <c r="AI20" s="96">
        <v>0</v>
      </c>
      <c r="AJ20" s="96">
        <v>0</v>
      </c>
      <c r="AK20" s="96">
        <v>9.549999999999999</v>
      </c>
      <c r="AL20" s="96">
        <v>0</v>
      </c>
      <c r="AM20" s="96">
        <v>0</v>
      </c>
      <c r="AN20" s="96">
        <v>0</v>
      </c>
      <c r="AO20" s="96">
        <v>0</v>
      </c>
      <c r="AP20" s="96">
        <v>0</v>
      </c>
      <c r="AQ20" s="96">
        <v>0</v>
      </c>
      <c r="AR20" s="96">
        <v>0</v>
      </c>
      <c r="AS20" s="96">
        <v>0</v>
      </c>
      <c r="AT20" s="96">
        <v>0</v>
      </c>
      <c r="AU20" s="96">
        <v>0</v>
      </c>
      <c r="AV20" s="96">
        <v>0</v>
      </c>
      <c r="AW20" s="96">
        <v>0</v>
      </c>
      <c r="AX20" s="96">
        <v>1.0416</v>
      </c>
      <c r="AY20" s="96">
        <v>0</v>
      </c>
      <c r="AZ20" s="96">
        <v>17.7</v>
      </c>
      <c r="BA20" s="96">
        <v>0</v>
      </c>
      <c r="BB20" s="96">
        <v>0</v>
      </c>
      <c r="BC20" s="96">
        <v>5.25</v>
      </c>
      <c r="BD20" s="96">
        <v>0</v>
      </c>
      <c r="BE20" s="96">
        <v>0</v>
      </c>
      <c r="BF20" s="96">
        <v>2.3436</v>
      </c>
      <c r="BG20" s="96">
        <v>0</v>
      </c>
      <c r="BH20" s="96">
        <v>0</v>
      </c>
      <c r="BI20" s="96">
        <v>0</v>
      </c>
      <c r="BJ20" s="96">
        <v>0</v>
      </c>
      <c r="BK20" s="96">
        <v>0</v>
      </c>
      <c r="BL20" s="96">
        <v>0</v>
      </c>
      <c r="BM20" s="96">
        <v>0</v>
      </c>
      <c r="BN20" s="96">
        <v>0</v>
      </c>
      <c r="BO20" s="96">
        <v>189.64999999999998</v>
      </c>
      <c r="BP20" s="96">
        <v>0</v>
      </c>
      <c r="BQ20" s="96">
        <v>0</v>
      </c>
      <c r="BR20" s="96">
        <v>0</v>
      </c>
      <c r="BS20" s="96">
        <v>0</v>
      </c>
      <c r="BT20" s="96">
        <v>0</v>
      </c>
      <c r="BU20" s="96">
        <v>0</v>
      </c>
      <c r="BV20" s="96">
        <v>0</v>
      </c>
      <c r="BW20" s="96">
        <v>0</v>
      </c>
      <c r="BX20" s="96">
        <v>0</v>
      </c>
      <c r="BY20" s="96">
        <v>0</v>
      </c>
      <c r="BZ20" s="96">
        <v>0</v>
      </c>
      <c r="CA20" s="96">
        <v>13.69</v>
      </c>
      <c r="CB20" s="96">
        <v>20.3112</v>
      </c>
      <c r="CC20" s="96">
        <v>0</v>
      </c>
      <c r="CD20" s="96">
        <v>0</v>
      </c>
      <c r="CE20" s="96">
        <v>0</v>
      </c>
      <c r="CF20" s="96">
        <v>0</v>
      </c>
      <c r="CG20" s="96">
        <v>0</v>
      </c>
      <c r="CH20" s="96">
        <v>0</v>
      </c>
      <c r="CI20" s="96">
        <v>0</v>
      </c>
      <c r="CJ20" s="96">
        <v>0</v>
      </c>
      <c r="CK20" s="96">
        <v>0</v>
      </c>
      <c r="CL20" s="96">
        <v>0</v>
      </c>
      <c r="CM20" s="96">
        <v>0</v>
      </c>
      <c r="CN20" s="96">
        <v>12.5</v>
      </c>
    </row>
    <row r="21" spans="1:92" ht="12.75">
      <c r="A21" s="84"/>
      <c r="B21" s="84"/>
      <c r="C21" s="83"/>
      <c r="D21" s="83"/>
      <c r="E21" s="83"/>
      <c r="F21" s="83"/>
      <c r="G21" s="83"/>
      <c r="H21" s="83"/>
      <c r="I21" s="83"/>
      <c r="J21" s="83"/>
      <c r="K21" s="83"/>
      <c r="L21" s="83"/>
      <c r="M21" s="83"/>
      <c r="N21" s="83"/>
      <c r="U21" s="95"/>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row>
    <row r="22" spans="1:92" ht="12.75">
      <c r="A22" s="84" t="s">
        <v>221</v>
      </c>
      <c r="B22" s="84"/>
      <c r="C22" s="83">
        <f t="shared" si="0"/>
        <v>3403.08152</v>
      </c>
      <c r="D22" s="83"/>
      <c r="E22" s="83">
        <v>1200.36724</v>
      </c>
      <c r="F22" s="83">
        <v>2159.27428</v>
      </c>
      <c r="G22" s="83">
        <v>28.96</v>
      </c>
      <c r="H22" s="83">
        <v>14.48</v>
      </c>
      <c r="I22" s="83">
        <v>0</v>
      </c>
      <c r="J22" s="83">
        <v>0</v>
      </c>
      <c r="K22" s="83">
        <v>0</v>
      </c>
      <c r="L22" s="83">
        <v>0</v>
      </c>
      <c r="M22" s="83">
        <v>0</v>
      </c>
      <c r="N22" s="83">
        <v>0</v>
      </c>
      <c r="T22" s="68" t="s">
        <v>305</v>
      </c>
      <c r="U22" s="95">
        <f>SUM(V22:CN22)</f>
        <v>393.34950000000003</v>
      </c>
      <c r="V22" s="96">
        <v>27.03</v>
      </c>
      <c r="W22" s="96">
        <v>3.9495</v>
      </c>
      <c r="X22" s="96">
        <v>0</v>
      </c>
      <c r="Y22" s="96">
        <v>0</v>
      </c>
      <c r="Z22" s="96">
        <v>0</v>
      </c>
      <c r="AA22" s="96">
        <v>1.7</v>
      </c>
      <c r="AB22" s="96">
        <v>3.4270000000000005</v>
      </c>
      <c r="AC22" s="96">
        <v>0</v>
      </c>
      <c r="AD22" s="96">
        <v>0</v>
      </c>
      <c r="AE22" s="96">
        <v>0</v>
      </c>
      <c r="AF22" s="96">
        <v>0</v>
      </c>
      <c r="AG22" s="96">
        <v>0</v>
      </c>
      <c r="AH22" s="96">
        <v>0</v>
      </c>
      <c r="AI22" s="96">
        <v>0</v>
      </c>
      <c r="AJ22" s="96">
        <v>0</v>
      </c>
      <c r="AK22" s="96">
        <v>11.57</v>
      </c>
      <c r="AL22" s="96">
        <v>0</v>
      </c>
      <c r="AM22" s="96">
        <v>0</v>
      </c>
      <c r="AN22" s="96">
        <v>0</v>
      </c>
      <c r="AO22" s="96">
        <v>0</v>
      </c>
      <c r="AP22" s="96">
        <v>0</v>
      </c>
      <c r="AQ22" s="96">
        <v>0</v>
      </c>
      <c r="AR22" s="96">
        <v>0</v>
      </c>
      <c r="AS22" s="96">
        <v>0</v>
      </c>
      <c r="AT22" s="96">
        <v>0</v>
      </c>
      <c r="AU22" s="96">
        <v>0</v>
      </c>
      <c r="AV22" s="96">
        <v>0</v>
      </c>
      <c r="AW22" s="96">
        <v>0</v>
      </c>
      <c r="AX22" s="96">
        <v>1.0281</v>
      </c>
      <c r="AY22" s="96">
        <v>0</v>
      </c>
      <c r="AZ22" s="96">
        <v>68.9</v>
      </c>
      <c r="BA22" s="96">
        <v>0</v>
      </c>
      <c r="BB22" s="96">
        <v>0</v>
      </c>
      <c r="BC22" s="96">
        <v>5.25</v>
      </c>
      <c r="BD22" s="96">
        <v>0</v>
      </c>
      <c r="BE22" s="96">
        <v>0</v>
      </c>
      <c r="BF22" s="96">
        <v>7.5394000000000005</v>
      </c>
      <c r="BG22" s="96">
        <v>0</v>
      </c>
      <c r="BH22" s="96">
        <v>0</v>
      </c>
      <c r="BI22" s="96">
        <v>0</v>
      </c>
      <c r="BJ22" s="96">
        <v>0</v>
      </c>
      <c r="BK22" s="96">
        <v>0</v>
      </c>
      <c r="BL22" s="96">
        <v>0</v>
      </c>
      <c r="BM22" s="96">
        <v>0</v>
      </c>
      <c r="BN22" s="96">
        <v>0</v>
      </c>
      <c r="BO22" s="96">
        <v>0</v>
      </c>
      <c r="BP22" s="96">
        <v>208.55</v>
      </c>
      <c r="BQ22" s="96">
        <v>0</v>
      </c>
      <c r="BR22" s="96">
        <v>0</v>
      </c>
      <c r="BS22" s="96">
        <v>0</v>
      </c>
      <c r="BT22" s="96">
        <v>0</v>
      </c>
      <c r="BU22" s="96">
        <v>0</v>
      </c>
      <c r="BV22" s="96">
        <v>0</v>
      </c>
      <c r="BW22" s="96">
        <v>0</v>
      </c>
      <c r="BX22" s="96">
        <v>0</v>
      </c>
      <c r="BY22" s="96">
        <v>0</v>
      </c>
      <c r="BZ22" s="96">
        <v>0</v>
      </c>
      <c r="CA22" s="96">
        <v>15.68</v>
      </c>
      <c r="CB22" s="96">
        <v>22.275500000000005</v>
      </c>
      <c r="CC22" s="96">
        <v>0</v>
      </c>
      <c r="CD22" s="96">
        <v>0</v>
      </c>
      <c r="CE22" s="96">
        <v>0</v>
      </c>
      <c r="CF22" s="96">
        <v>0</v>
      </c>
      <c r="CG22" s="96">
        <v>0</v>
      </c>
      <c r="CH22" s="96">
        <v>0</v>
      </c>
      <c r="CI22" s="96">
        <v>0</v>
      </c>
      <c r="CJ22" s="96">
        <v>0</v>
      </c>
      <c r="CK22" s="96">
        <v>0</v>
      </c>
      <c r="CL22" s="96">
        <v>0</v>
      </c>
      <c r="CM22" s="96">
        <v>0</v>
      </c>
      <c r="CN22" s="96">
        <v>16.45</v>
      </c>
    </row>
    <row r="23" spans="1:92" ht="12.75">
      <c r="A23" s="84"/>
      <c r="B23" s="84"/>
      <c r="C23" s="83"/>
      <c r="D23" s="83"/>
      <c r="E23" s="83"/>
      <c r="F23" s="83"/>
      <c r="G23" s="83"/>
      <c r="H23" s="83"/>
      <c r="I23" s="83"/>
      <c r="J23" s="83"/>
      <c r="K23" s="83"/>
      <c r="L23" s="83"/>
      <c r="M23" s="83"/>
      <c r="N23" s="83"/>
      <c r="U23" s="95"/>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row>
    <row r="24" spans="1:92" ht="12.75">
      <c r="A24" s="84" t="s">
        <v>235</v>
      </c>
      <c r="B24" s="84"/>
      <c r="C24" s="83">
        <f t="shared" si="0"/>
        <v>923.175</v>
      </c>
      <c r="D24" s="83"/>
      <c r="E24" s="83">
        <v>0</v>
      </c>
      <c r="F24" s="83">
        <v>923.175</v>
      </c>
      <c r="G24" s="83">
        <v>0</v>
      </c>
      <c r="H24" s="83">
        <v>0</v>
      </c>
      <c r="I24" s="83">
        <v>0</v>
      </c>
      <c r="J24" s="83">
        <v>0</v>
      </c>
      <c r="K24" s="83">
        <v>0</v>
      </c>
      <c r="L24" s="83">
        <v>0</v>
      </c>
      <c r="M24" s="83">
        <v>0</v>
      </c>
      <c r="N24" s="83">
        <v>0</v>
      </c>
      <c r="T24" s="68" t="s">
        <v>306</v>
      </c>
      <c r="U24" s="95">
        <f>SUM(V24:CN24)</f>
        <v>393.34950000000003</v>
      </c>
      <c r="V24" s="96">
        <v>27.03</v>
      </c>
      <c r="W24" s="96">
        <v>3.9495</v>
      </c>
      <c r="X24" s="96">
        <v>0</v>
      </c>
      <c r="Y24" s="96">
        <v>0</v>
      </c>
      <c r="Z24" s="96">
        <v>0</v>
      </c>
      <c r="AA24" s="96">
        <v>1.7</v>
      </c>
      <c r="AB24" s="96">
        <v>3.4270000000000005</v>
      </c>
      <c r="AC24" s="96">
        <v>0</v>
      </c>
      <c r="AD24" s="96">
        <v>0</v>
      </c>
      <c r="AE24" s="96">
        <v>0</v>
      </c>
      <c r="AF24" s="96">
        <v>0</v>
      </c>
      <c r="AG24" s="96">
        <v>0</v>
      </c>
      <c r="AH24" s="96">
        <v>0</v>
      </c>
      <c r="AI24" s="96">
        <v>0</v>
      </c>
      <c r="AJ24" s="96">
        <v>0</v>
      </c>
      <c r="AK24" s="96">
        <v>11.57</v>
      </c>
      <c r="AL24" s="96">
        <v>0</v>
      </c>
      <c r="AM24" s="96">
        <v>0</v>
      </c>
      <c r="AN24" s="96">
        <v>0</v>
      </c>
      <c r="AO24" s="96">
        <v>0</v>
      </c>
      <c r="AP24" s="96">
        <v>0</v>
      </c>
      <c r="AQ24" s="96">
        <v>0</v>
      </c>
      <c r="AR24" s="96">
        <v>0</v>
      </c>
      <c r="AS24" s="96">
        <v>0</v>
      </c>
      <c r="AT24" s="96">
        <v>0</v>
      </c>
      <c r="AU24" s="96">
        <v>0</v>
      </c>
      <c r="AV24" s="96">
        <v>0</v>
      </c>
      <c r="AW24" s="96">
        <v>0</v>
      </c>
      <c r="AX24" s="96">
        <v>1.0281</v>
      </c>
      <c r="AY24" s="96">
        <v>0</v>
      </c>
      <c r="AZ24" s="96">
        <v>68.9</v>
      </c>
      <c r="BA24" s="96">
        <v>0</v>
      </c>
      <c r="BB24" s="96">
        <v>0</v>
      </c>
      <c r="BC24" s="96">
        <v>5.25</v>
      </c>
      <c r="BD24" s="96">
        <v>0</v>
      </c>
      <c r="BE24" s="96">
        <v>0</v>
      </c>
      <c r="BF24" s="96">
        <v>7.5394000000000005</v>
      </c>
      <c r="BG24" s="96">
        <v>0</v>
      </c>
      <c r="BH24" s="96">
        <v>0</v>
      </c>
      <c r="BI24" s="96">
        <v>0</v>
      </c>
      <c r="BJ24" s="96">
        <v>0</v>
      </c>
      <c r="BK24" s="96">
        <v>0</v>
      </c>
      <c r="BL24" s="96">
        <v>0</v>
      </c>
      <c r="BM24" s="96">
        <v>0</v>
      </c>
      <c r="BN24" s="96">
        <v>0</v>
      </c>
      <c r="BO24" s="96">
        <v>0</v>
      </c>
      <c r="BP24" s="96">
        <v>0</v>
      </c>
      <c r="BQ24" s="96">
        <v>208.55</v>
      </c>
      <c r="BR24" s="96">
        <v>0</v>
      </c>
      <c r="BS24" s="96">
        <v>0</v>
      </c>
      <c r="BT24" s="96">
        <v>0</v>
      </c>
      <c r="BU24" s="96">
        <v>0</v>
      </c>
      <c r="BV24" s="96">
        <v>0</v>
      </c>
      <c r="BW24" s="96">
        <v>0</v>
      </c>
      <c r="BX24" s="96">
        <v>0</v>
      </c>
      <c r="BY24" s="96">
        <v>0</v>
      </c>
      <c r="BZ24" s="96">
        <v>0</v>
      </c>
      <c r="CA24" s="96">
        <v>15.68</v>
      </c>
      <c r="CB24" s="96">
        <v>22.275500000000005</v>
      </c>
      <c r="CC24" s="96">
        <v>0</v>
      </c>
      <c r="CD24" s="96">
        <v>0</v>
      </c>
      <c r="CE24" s="96">
        <v>0</v>
      </c>
      <c r="CF24" s="96">
        <v>0</v>
      </c>
      <c r="CG24" s="96">
        <v>0</v>
      </c>
      <c r="CH24" s="96">
        <v>0</v>
      </c>
      <c r="CI24" s="96">
        <v>0</v>
      </c>
      <c r="CJ24" s="96">
        <v>0</v>
      </c>
      <c r="CK24" s="96">
        <v>0</v>
      </c>
      <c r="CL24" s="96">
        <v>0</v>
      </c>
      <c r="CM24" s="96">
        <v>0</v>
      </c>
      <c r="CN24" s="96">
        <v>16.45</v>
      </c>
    </row>
    <row r="25" spans="1:92" ht="12.75">
      <c r="A25" s="84"/>
      <c r="B25" s="84"/>
      <c r="C25" s="83"/>
      <c r="D25" s="83"/>
      <c r="E25" s="83"/>
      <c r="F25" s="83"/>
      <c r="G25" s="83"/>
      <c r="H25" s="83"/>
      <c r="I25" s="83"/>
      <c r="J25" s="83"/>
      <c r="K25" s="83"/>
      <c r="L25" s="83"/>
      <c r="M25" s="83"/>
      <c r="N25" s="83"/>
      <c r="U25" s="95"/>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row>
    <row r="26" spans="1:92" ht="12.75">
      <c r="A26" s="84" t="s">
        <v>220</v>
      </c>
      <c r="B26" s="84"/>
      <c r="C26" s="83">
        <f t="shared" si="0"/>
        <v>974.0515640000002</v>
      </c>
      <c r="D26" s="83"/>
      <c r="E26" s="83">
        <v>522.465864</v>
      </c>
      <c r="F26" s="83">
        <v>348.3982</v>
      </c>
      <c r="G26" s="83">
        <v>0</v>
      </c>
      <c r="H26" s="83">
        <v>0</v>
      </c>
      <c r="I26" s="83">
        <v>0</v>
      </c>
      <c r="J26" s="83">
        <v>20.6375</v>
      </c>
      <c r="K26" s="83">
        <v>20.6375</v>
      </c>
      <c r="L26" s="83">
        <v>20.6375</v>
      </c>
      <c r="M26" s="83">
        <v>20.6375</v>
      </c>
      <c r="N26" s="83">
        <v>20.6375</v>
      </c>
      <c r="T26" s="68" t="s">
        <v>307</v>
      </c>
      <c r="U26" s="95">
        <f>SUM(V26:CN26)</f>
        <v>399.0445</v>
      </c>
      <c r="V26" s="96">
        <v>27.410000000000004</v>
      </c>
      <c r="W26" s="96">
        <v>3.9644999999999997</v>
      </c>
      <c r="X26" s="96">
        <v>0</v>
      </c>
      <c r="Y26" s="96">
        <v>0</v>
      </c>
      <c r="Z26" s="96">
        <v>0</v>
      </c>
      <c r="AA26" s="96">
        <v>1.7</v>
      </c>
      <c r="AB26" s="96">
        <v>3.4770000000000003</v>
      </c>
      <c r="AC26" s="96">
        <v>0</v>
      </c>
      <c r="AD26" s="96">
        <v>0</v>
      </c>
      <c r="AE26" s="96">
        <v>0</v>
      </c>
      <c r="AF26" s="96">
        <v>0</v>
      </c>
      <c r="AG26" s="96">
        <v>0</v>
      </c>
      <c r="AH26" s="96">
        <v>0</v>
      </c>
      <c r="AI26" s="96">
        <v>0</v>
      </c>
      <c r="AJ26" s="96">
        <v>0</v>
      </c>
      <c r="AK26" s="96">
        <v>11.77</v>
      </c>
      <c r="AL26" s="96">
        <v>0</v>
      </c>
      <c r="AM26" s="96">
        <v>0</v>
      </c>
      <c r="AN26" s="96">
        <v>0</v>
      </c>
      <c r="AO26" s="96">
        <v>0</v>
      </c>
      <c r="AP26" s="96">
        <v>0</v>
      </c>
      <c r="AQ26" s="96">
        <v>0</v>
      </c>
      <c r="AR26" s="96">
        <v>0</v>
      </c>
      <c r="AS26" s="96">
        <v>0</v>
      </c>
      <c r="AT26" s="96">
        <v>0</v>
      </c>
      <c r="AU26" s="96">
        <v>0</v>
      </c>
      <c r="AV26" s="96">
        <v>0</v>
      </c>
      <c r="AW26" s="96">
        <v>0</v>
      </c>
      <c r="AX26" s="96">
        <v>1.0431000000000001</v>
      </c>
      <c r="AY26" s="96">
        <v>0</v>
      </c>
      <c r="AZ26" s="96">
        <v>68.9</v>
      </c>
      <c r="BA26" s="96">
        <v>0</v>
      </c>
      <c r="BB26" s="96">
        <v>0</v>
      </c>
      <c r="BC26" s="96">
        <v>5.25</v>
      </c>
      <c r="BD26" s="96">
        <v>0</v>
      </c>
      <c r="BE26" s="96">
        <v>0</v>
      </c>
      <c r="BF26" s="96">
        <v>7.3017</v>
      </c>
      <c r="BG26" s="96">
        <v>0</v>
      </c>
      <c r="BH26" s="96">
        <v>0</v>
      </c>
      <c r="BI26" s="96">
        <v>0</v>
      </c>
      <c r="BJ26" s="96">
        <v>0</v>
      </c>
      <c r="BK26" s="96">
        <v>0</v>
      </c>
      <c r="BL26" s="96">
        <v>0</v>
      </c>
      <c r="BM26" s="96">
        <v>0</v>
      </c>
      <c r="BN26" s="96">
        <v>0</v>
      </c>
      <c r="BO26" s="96">
        <v>0</v>
      </c>
      <c r="BP26" s="96">
        <v>0</v>
      </c>
      <c r="BQ26" s="96">
        <v>0</v>
      </c>
      <c r="BR26" s="96">
        <v>212.55</v>
      </c>
      <c r="BS26" s="96">
        <v>0</v>
      </c>
      <c r="BT26" s="96">
        <v>0</v>
      </c>
      <c r="BU26" s="96">
        <v>0</v>
      </c>
      <c r="BV26" s="96">
        <v>0</v>
      </c>
      <c r="BW26" s="96">
        <v>0</v>
      </c>
      <c r="BX26" s="96">
        <v>0</v>
      </c>
      <c r="BY26" s="96">
        <v>0</v>
      </c>
      <c r="BZ26" s="96">
        <v>0</v>
      </c>
      <c r="CA26" s="96">
        <v>16.04</v>
      </c>
      <c r="CB26" s="96">
        <v>22.948200000000003</v>
      </c>
      <c r="CC26" s="96">
        <v>0</v>
      </c>
      <c r="CD26" s="96">
        <v>0</v>
      </c>
      <c r="CE26" s="96">
        <v>0</v>
      </c>
      <c r="CF26" s="96">
        <v>0</v>
      </c>
      <c r="CG26" s="96">
        <v>0</v>
      </c>
      <c r="CH26" s="96">
        <v>0</v>
      </c>
      <c r="CI26" s="96">
        <v>0</v>
      </c>
      <c r="CJ26" s="96">
        <v>0</v>
      </c>
      <c r="CK26" s="96">
        <v>0</v>
      </c>
      <c r="CL26" s="96">
        <v>0</v>
      </c>
      <c r="CM26" s="96">
        <v>0</v>
      </c>
      <c r="CN26" s="96">
        <v>16.69</v>
      </c>
    </row>
    <row r="27" spans="1:92" ht="12.75">
      <c r="A27" s="84"/>
      <c r="B27" s="84"/>
      <c r="C27" s="83"/>
      <c r="D27" s="83"/>
      <c r="E27" s="83"/>
      <c r="F27" s="83"/>
      <c r="G27" s="83"/>
      <c r="H27" s="83"/>
      <c r="I27" s="83"/>
      <c r="J27" s="83"/>
      <c r="K27" s="83"/>
      <c r="L27" s="83"/>
      <c r="M27" s="83"/>
      <c r="N27" s="83"/>
      <c r="U27" s="95"/>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row>
    <row r="28" spans="1:92" ht="12.75">
      <c r="A28" s="84" t="s">
        <v>219</v>
      </c>
      <c r="B28" s="84"/>
      <c r="C28" s="83">
        <f t="shared" si="0"/>
        <v>643.47</v>
      </c>
      <c r="D28" s="83"/>
      <c r="E28" s="83">
        <v>643.47</v>
      </c>
      <c r="F28" s="83">
        <v>0</v>
      </c>
      <c r="G28" s="83">
        <v>0</v>
      </c>
      <c r="H28" s="83">
        <v>0</v>
      </c>
      <c r="I28" s="83">
        <v>0</v>
      </c>
      <c r="J28" s="83">
        <v>0</v>
      </c>
      <c r="K28" s="83">
        <v>0</v>
      </c>
      <c r="L28" s="83">
        <v>0</v>
      </c>
      <c r="M28" s="83">
        <v>0</v>
      </c>
      <c r="N28" s="83">
        <v>0</v>
      </c>
      <c r="T28" s="68" t="s">
        <v>309</v>
      </c>
      <c r="U28" s="95">
        <f>SUM(V28:CN28)</f>
        <v>7260.654399999999</v>
      </c>
      <c r="V28" s="96">
        <v>473.22</v>
      </c>
      <c r="W28" s="96">
        <v>11.9244</v>
      </c>
      <c r="X28" s="96">
        <v>0</v>
      </c>
      <c r="Y28" s="96">
        <v>0</v>
      </c>
      <c r="Z28" s="96">
        <v>0</v>
      </c>
      <c r="AA28" s="96">
        <v>17.2</v>
      </c>
      <c r="AB28" s="96">
        <v>50.5976</v>
      </c>
      <c r="AC28" s="96">
        <v>0</v>
      </c>
      <c r="AD28" s="96">
        <v>0</v>
      </c>
      <c r="AE28" s="96">
        <v>0</v>
      </c>
      <c r="AF28" s="96">
        <v>0</v>
      </c>
      <c r="AG28" s="96">
        <v>0.29</v>
      </c>
      <c r="AH28" s="96">
        <v>101.31</v>
      </c>
      <c r="AI28" s="96">
        <v>157.3</v>
      </c>
      <c r="AJ28" s="96">
        <v>225</v>
      </c>
      <c r="AK28" s="96">
        <v>0</v>
      </c>
      <c r="AL28" s="96">
        <v>0</v>
      </c>
      <c r="AM28" s="96">
        <v>58.72</v>
      </c>
      <c r="AN28" s="96">
        <v>0</v>
      </c>
      <c r="AO28" s="96">
        <v>0</v>
      </c>
      <c r="AP28" s="96">
        <v>0</v>
      </c>
      <c r="AQ28" s="96">
        <v>0.81</v>
      </c>
      <c r="AR28" s="96">
        <v>0</v>
      </c>
      <c r="AS28" s="96">
        <v>0</v>
      </c>
      <c r="AT28" s="96">
        <v>0</v>
      </c>
      <c r="AU28" s="96">
        <v>0</v>
      </c>
      <c r="AV28" s="96">
        <v>0</v>
      </c>
      <c r="AW28" s="96">
        <v>0</v>
      </c>
      <c r="AX28" s="96">
        <v>56.9223</v>
      </c>
      <c r="AY28" s="96">
        <v>50</v>
      </c>
      <c r="AZ28" s="96">
        <v>876.2</v>
      </c>
      <c r="BA28" s="96">
        <v>560.4</v>
      </c>
      <c r="BB28" s="96">
        <v>150</v>
      </c>
      <c r="BC28" s="96">
        <v>126</v>
      </c>
      <c r="BD28" s="96">
        <v>0</v>
      </c>
      <c r="BE28" s="96">
        <v>0</v>
      </c>
      <c r="BF28" s="96">
        <v>177.09160000000003</v>
      </c>
      <c r="BG28" s="96">
        <v>0</v>
      </c>
      <c r="BH28" s="96">
        <v>0</v>
      </c>
      <c r="BI28" s="96">
        <v>280</v>
      </c>
      <c r="BJ28" s="96">
        <v>18.150000000000002</v>
      </c>
      <c r="BK28" s="96">
        <v>301.7</v>
      </c>
      <c r="BL28" s="96">
        <v>301.7</v>
      </c>
      <c r="BM28" s="96">
        <v>211.60000000000002</v>
      </c>
      <c r="BN28" s="96">
        <v>0</v>
      </c>
      <c r="BO28" s="96">
        <v>0</v>
      </c>
      <c r="BP28" s="96">
        <v>0</v>
      </c>
      <c r="BQ28" s="96">
        <v>0</v>
      </c>
      <c r="BR28" s="96">
        <v>0</v>
      </c>
      <c r="BS28" s="96">
        <v>16.2</v>
      </c>
      <c r="BT28" s="96">
        <v>5.8</v>
      </c>
      <c r="BU28" s="96">
        <v>47.2</v>
      </c>
      <c r="BV28" s="96">
        <v>1016</v>
      </c>
      <c r="BW28" s="96">
        <v>631.2</v>
      </c>
      <c r="BX28" s="96">
        <v>0</v>
      </c>
      <c r="BY28" s="96">
        <v>0</v>
      </c>
      <c r="BZ28" s="96">
        <v>0</v>
      </c>
      <c r="CA28" s="96">
        <v>263.11999999999995</v>
      </c>
      <c r="CB28" s="96">
        <v>303.5856</v>
      </c>
      <c r="CC28" s="96">
        <v>0</v>
      </c>
      <c r="CD28" s="96">
        <v>0</v>
      </c>
      <c r="CE28" s="96">
        <v>0</v>
      </c>
      <c r="CF28" s="96">
        <v>0</v>
      </c>
      <c r="CG28" s="96">
        <v>0</v>
      </c>
      <c r="CH28" s="96">
        <v>0</v>
      </c>
      <c r="CI28" s="96">
        <v>423.55999999999995</v>
      </c>
      <c r="CJ28" s="96">
        <v>0</v>
      </c>
      <c r="CK28" s="96">
        <v>0</v>
      </c>
      <c r="CL28" s="96">
        <v>0</v>
      </c>
      <c r="CM28" s="96">
        <v>44.27290000000001</v>
      </c>
      <c r="CN28" s="96">
        <v>303.58</v>
      </c>
    </row>
    <row r="29" spans="1:92" ht="12.75">
      <c r="A29" s="84"/>
      <c r="B29" s="84"/>
      <c r="C29" s="83"/>
      <c r="D29" s="83"/>
      <c r="E29" s="83"/>
      <c r="F29" s="83"/>
      <c r="G29" s="83"/>
      <c r="H29" s="83"/>
      <c r="I29" s="83"/>
      <c r="J29" s="83"/>
      <c r="K29" s="83"/>
      <c r="L29" s="83"/>
      <c r="M29" s="83"/>
      <c r="N29" s="83"/>
      <c r="U29" s="95"/>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row>
    <row r="30" spans="1:92" ht="12.75">
      <c r="A30" s="84" t="s">
        <v>308</v>
      </c>
      <c r="B30" s="84"/>
      <c r="C30" s="83">
        <f t="shared" si="0"/>
        <v>0</v>
      </c>
      <c r="D30" s="83"/>
      <c r="E30" s="83">
        <v>0</v>
      </c>
      <c r="F30" s="83">
        <v>0</v>
      </c>
      <c r="G30" s="83">
        <v>0</v>
      </c>
      <c r="H30" s="83">
        <v>0</v>
      </c>
      <c r="I30" s="83">
        <v>0</v>
      </c>
      <c r="J30" s="83">
        <v>0</v>
      </c>
      <c r="K30" s="83">
        <v>0</v>
      </c>
      <c r="L30" s="83">
        <v>0</v>
      </c>
      <c r="M30" s="83">
        <v>0</v>
      </c>
      <c r="N30" s="83">
        <v>0</v>
      </c>
      <c r="T30" s="68" t="s">
        <v>311</v>
      </c>
      <c r="U30" s="95">
        <f>SUM(V30:CN30)</f>
        <v>36850.154674</v>
      </c>
      <c r="V30" s="96">
        <v>1245.142</v>
      </c>
      <c r="W30" s="96">
        <v>293.28591399999993</v>
      </c>
      <c r="X30" s="96">
        <v>281.79400000000004</v>
      </c>
      <c r="Y30" s="96">
        <v>0</v>
      </c>
      <c r="Z30" s="96">
        <v>0</v>
      </c>
      <c r="AA30" s="96">
        <v>17.2</v>
      </c>
      <c r="AB30" s="96">
        <v>192.5964</v>
      </c>
      <c r="AC30" s="96">
        <v>0</v>
      </c>
      <c r="AD30" s="96">
        <v>0</v>
      </c>
      <c r="AE30" s="96">
        <v>0</v>
      </c>
      <c r="AF30" s="96">
        <v>0</v>
      </c>
      <c r="AG30" s="96">
        <v>0</v>
      </c>
      <c r="AH30" s="96">
        <v>0</v>
      </c>
      <c r="AI30" s="96">
        <v>0</v>
      </c>
      <c r="AJ30" s="96">
        <v>0</v>
      </c>
      <c r="AK30" s="96">
        <v>0</v>
      </c>
      <c r="AL30" s="96">
        <v>0</v>
      </c>
      <c r="AM30" s="96">
        <v>0</v>
      </c>
      <c r="AN30" s="96">
        <v>0</v>
      </c>
      <c r="AO30" s="96">
        <v>0</v>
      </c>
      <c r="AP30" s="96">
        <v>0</v>
      </c>
      <c r="AQ30" s="96">
        <v>0</v>
      </c>
      <c r="AR30" s="96">
        <v>0</v>
      </c>
      <c r="AS30" s="96">
        <v>0</v>
      </c>
      <c r="AT30" s="96">
        <v>0</v>
      </c>
      <c r="AU30" s="96">
        <v>0</v>
      </c>
      <c r="AV30" s="96">
        <v>0</v>
      </c>
      <c r="AW30" s="96">
        <v>0</v>
      </c>
      <c r="AX30" s="96">
        <v>0</v>
      </c>
      <c r="AY30" s="96">
        <v>0</v>
      </c>
      <c r="AZ30" s="96">
        <v>0</v>
      </c>
      <c r="BA30" s="96">
        <v>0</v>
      </c>
      <c r="BB30" s="96">
        <v>0</v>
      </c>
      <c r="BC30" s="96">
        <v>0</v>
      </c>
      <c r="BD30" s="96">
        <v>0</v>
      </c>
      <c r="BE30" s="96">
        <v>0</v>
      </c>
      <c r="BF30" s="96">
        <v>0</v>
      </c>
      <c r="BG30" s="96">
        <v>0</v>
      </c>
      <c r="BH30" s="96">
        <v>0</v>
      </c>
      <c r="BI30" s="96">
        <v>0</v>
      </c>
      <c r="BJ30" s="96">
        <v>0</v>
      </c>
      <c r="BK30" s="96">
        <v>0</v>
      </c>
      <c r="BL30" s="96">
        <v>0</v>
      </c>
      <c r="BM30" s="96">
        <v>0</v>
      </c>
      <c r="BN30" s="96">
        <v>0</v>
      </c>
      <c r="BO30" s="96">
        <v>0</v>
      </c>
      <c r="BP30" s="96">
        <v>0</v>
      </c>
      <c r="BQ30" s="96">
        <v>0</v>
      </c>
      <c r="BR30" s="96">
        <v>0</v>
      </c>
      <c r="BS30" s="96">
        <v>0</v>
      </c>
      <c r="BT30" s="96">
        <v>0</v>
      </c>
      <c r="BU30" s="96">
        <v>0</v>
      </c>
      <c r="BV30" s="96">
        <v>0</v>
      </c>
      <c r="BW30" s="96">
        <v>0</v>
      </c>
      <c r="BX30" s="96">
        <v>0</v>
      </c>
      <c r="BY30" s="96">
        <v>0</v>
      </c>
      <c r="BZ30" s="96">
        <v>0</v>
      </c>
      <c r="CA30" s="96">
        <v>1.76</v>
      </c>
      <c r="CB30" s="96">
        <v>0</v>
      </c>
      <c r="CC30" s="96">
        <v>132.37499999999997</v>
      </c>
      <c r="CD30" s="96">
        <v>728.424</v>
      </c>
      <c r="CE30" s="96">
        <v>182.106</v>
      </c>
      <c r="CF30" s="96">
        <v>539.197</v>
      </c>
      <c r="CG30" s="96">
        <v>17634.665</v>
      </c>
      <c r="CH30" s="96">
        <v>671.8399999999999</v>
      </c>
      <c r="CI30" s="96">
        <v>5007.7880000000005</v>
      </c>
      <c r="CJ30" s="96">
        <v>5363.867760000001</v>
      </c>
      <c r="CK30" s="96">
        <v>0</v>
      </c>
      <c r="CL30" s="96">
        <v>0</v>
      </c>
      <c r="CM30" s="96">
        <v>3017.3435999999997</v>
      </c>
      <c r="CN30" s="96">
        <v>1540.77</v>
      </c>
    </row>
    <row r="31" spans="1:92" ht="12.75">
      <c r="A31" s="84"/>
      <c r="B31" s="84"/>
      <c r="C31" s="83"/>
      <c r="D31" s="83"/>
      <c r="E31" s="83"/>
      <c r="F31" s="83"/>
      <c r="G31" s="83"/>
      <c r="H31" s="83"/>
      <c r="I31" s="83"/>
      <c r="J31" s="83"/>
      <c r="K31" s="83"/>
      <c r="L31" s="83"/>
      <c r="M31" s="83"/>
      <c r="N31" s="83"/>
      <c r="U31" s="95"/>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row>
    <row r="32" spans="1:92" ht="12.75">
      <c r="A32" s="84" t="s">
        <v>310</v>
      </c>
      <c r="B32" s="84"/>
      <c r="C32" s="83">
        <f>SUM(D32:N32)</f>
        <v>71.47000000000001</v>
      </c>
      <c r="D32" s="83"/>
      <c r="E32" s="83">
        <v>20.08</v>
      </c>
      <c r="F32" s="83">
        <v>20.59</v>
      </c>
      <c r="G32" s="83">
        <v>10.299999999999999</v>
      </c>
      <c r="H32" s="83">
        <v>10.299999999999999</v>
      </c>
      <c r="I32" s="83">
        <v>0</v>
      </c>
      <c r="J32" s="83">
        <v>2.04</v>
      </c>
      <c r="K32" s="83">
        <v>2.04</v>
      </c>
      <c r="L32" s="83">
        <v>2.04</v>
      </c>
      <c r="M32" s="83">
        <v>2.04</v>
      </c>
      <c r="N32" s="83">
        <v>2.04</v>
      </c>
      <c r="U32" s="95"/>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row>
    <row r="33" spans="1:92" ht="12.75">
      <c r="A33" s="84"/>
      <c r="B33" s="84"/>
      <c r="C33" s="83"/>
      <c r="D33" s="83"/>
      <c r="E33" s="83"/>
      <c r="F33" s="83"/>
      <c r="G33" s="83"/>
      <c r="H33" s="83"/>
      <c r="I33" s="83"/>
      <c r="J33" s="83"/>
      <c r="K33" s="83"/>
      <c r="L33" s="83"/>
      <c r="M33" s="83"/>
      <c r="N33" s="83"/>
      <c r="T33" s="68" t="s">
        <v>34</v>
      </c>
      <c r="U33" s="95">
        <f>SUM(U10:U31)</f>
        <v>76611.078274</v>
      </c>
      <c r="V33" s="95">
        <f aca="true" t="shared" si="1" ref="V33:CG33">SUM(V10:V31)</f>
        <v>3381.661</v>
      </c>
      <c r="W33" s="95">
        <f t="shared" si="1"/>
        <v>354.88406399999997</v>
      </c>
      <c r="X33" s="95">
        <f t="shared" si="1"/>
        <v>287.55445000000003</v>
      </c>
      <c r="Y33" s="95">
        <f t="shared" si="1"/>
        <v>32.972</v>
      </c>
      <c r="Z33" s="95">
        <f t="shared" si="1"/>
        <v>24.729000000000003</v>
      </c>
      <c r="AA33" s="95">
        <f t="shared" si="1"/>
        <v>60.099999999999994</v>
      </c>
      <c r="AB33" s="95">
        <f t="shared" si="1"/>
        <v>426.4248</v>
      </c>
      <c r="AC33" s="95">
        <f t="shared" si="1"/>
        <v>104.96000000000001</v>
      </c>
      <c r="AD33" s="95">
        <f t="shared" si="1"/>
        <v>94.9</v>
      </c>
      <c r="AE33" s="95">
        <f t="shared" si="1"/>
        <v>36.52</v>
      </c>
      <c r="AF33" s="95">
        <f t="shared" si="1"/>
        <v>12.5</v>
      </c>
      <c r="AG33" s="95">
        <f t="shared" si="1"/>
        <v>63.029999999999994</v>
      </c>
      <c r="AH33" s="95">
        <f t="shared" si="1"/>
        <v>101.31</v>
      </c>
      <c r="AI33" s="95">
        <f t="shared" si="1"/>
        <v>157.3</v>
      </c>
      <c r="AJ33" s="95">
        <f t="shared" si="1"/>
        <v>225</v>
      </c>
      <c r="AK33" s="95">
        <f t="shared" si="1"/>
        <v>61.599999999999994</v>
      </c>
      <c r="AL33" s="95">
        <f t="shared" si="1"/>
        <v>0</v>
      </c>
      <c r="AM33" s="95">
        <f t="shared" si="1"/>
        <v>58.72</v>
      </c>
      <c r="AN33" s="95">
        <f t="shared" si="1"/>
        <v>0</v>
      </c>
      <c r="AO33" s="95">
        <f t="shared" si="1"/>
        <v>0</v>
      </c>
      <c r="AP33" s="95">
        <f t="shared" si="1"/>
        <v>0</v>
      </c>
      <c r="AQ33" s="95">
        <f t="shared" si="1"/>
        <v>0.81</v>
      </c>
      <c r="AR33" s="95">
        <f t="shared" si="1"/>
        <v>0</v>
      </c>
      <c r="AS33" s="95">
        <f t="shared" si="1"/>
        <v>5</v>
      </c>
      <c r="AT33" s="95">
        <f t="shared" si="1"/>
        <v>3.45</v>
      </c>
      <c r="AU33" s="95">
        <f t="shared" si="1"/>
        <v>0</v>
      </c>
      <c r="AV33" s="95">
        <f t="shared" si="1"/>
        <v>0</v>
      </c>
      <c r="AW33" s="95">
        <f t="shared" si="1"/>
        <v>0</v>
      </c>
      <c r="AX33" s="95">
        <f t="shared" si="1"/>
        <v>94.8853</v>
      </c>
      <c r="AY33" s="95">
        <f t="shared" si="1"/>
        <v>50</v>
      </c>
      <c r="AZ33" s="95">
        <f t="shared" si="1"/>
        <v>1538.5</v>
      </c>
      <c r="BA33" s="95">
        <f t="shared" si="1"/>
        <v>560.4</v>
      </c>
      <c r="BB33" s="95">
        <f t="shared" si="1"/>
        <v>150</v>
      </c>
      <c r="BC33" s="95">
        <f t="shared" si="1"/>
        <v>152.25</v>
      </c>
      <c r="BD33" s="95">
        <f t="shared" si="1"/>
        <v>0</v>
      </c>
      <c r="BE33" s="95">
        <f t="shared" si="1"/>
        <v>590</v>
      </c>
      <c r="BF33" s="95">
        <f t="shared" si="1"/>
        <v>303.6014</v>
      </c>
      <c r="BG33" s="95">
        <f t="shared" si="1"/>
        <v>961.8</v>
      </c>
      <c r="BH33" s="95">
        <f t="shared" si="1"/>
        <v>735</v>
      </c>
      <c r="BI33" s="95">
        <f t="shared" si="1"/>
        <v>280</v>
      </c>
      <c r="BJ33" s="95">
        <f t="shared" si="1"/>
        <v>18.150000000000002</v>
      </c>
      <c r="BK33" s="95">
        <f t="shared" si="1"/>
        <v>301.7</v>
      </c>
      <c r="BL33" s="95">
        <f t="shared" si="1"/>
        <v>301.7</v>
      </c>
      <c r="BM33" s="95">
        <f t="shared" si="1"/>
        <v>211.60000000000002</v>
      </c>
      <c r="BN33" s="95">
        <f t="shared" si="1"/>
        <v>357.85</v>
      </c>
      <c r="BO33" s="95">
        <f t="shared" si="1"/>
        <v>189.64999999999998</v>
      </c>
      <c r="BP33" s="95">
        <f t="shared" si="1"/>
        <v>208.55</v>
      </c>
      <c r="BQ33" s="95">
        <f t="shared" si="1"/>
        <v>208.55</v>
      </c>
      <c r="BR33" s="95">
        <f t="shared" si="1"/>
        <v>212.55</v>
      </c>
      <c r="BS33" s="95">
        <f t="shared" si="1"/>
        <v>16.2</v>
      </c>
      <c r="BT33" s="95">
        <f t="shared" si="1"/>
        <v>2441.9</v>
      </c>
      <c r="BU33" s="95">
        <f t="shared" si="1"/>
        <v>47.2</v>
      </c>
      <c r="BV33" s="95">
        <f t="shared" si="1"/>
        <v>1016</v>
      </c>
      <c r="BW33" s="95">
        <f t="shared" si="1"/>
        <v>631.2</v>
      </c>
      <c r="BX33" s="95">
        <f t="shared" si="1"/>
        <v>0</v>
      </c>
      <c r="BY33" s="95">
        <f t="shared" si="1"/>
        <v>100</v>
      </c>
      <c r="BZ33" s="95">
        <f t="shared" si="1"/>
        <v>0</v>
      </c>
      <c r="CA33" s="95">
        <f t="shared" si="1"/>
        <v>781.8399999999999</v>
      </c>
      <c r="CB33" s="95">
        <f t="shared" si="1"/>
        <v>898.3422</v>
      </c>
      <c r="CC33" s="95">
        <f t="shared" si="1"/>
        <v>132.37499999999997</v>
      </c>
      <c r="CD33" s="95">
        <f t="shared" si="1"/>
        <v>728.424</v>
      </c>
      <c r="CE33" s="95">
        <f t="shared" si="1"/>
        <v>182.106</v>
      </c>
      <c r="CF33" s="95">
        <f t="shared" si="1"/>
        <v>539.197</v>
      </c>
      <c r="CG33" s="95">
        <f t="shared" si="1"/>
        <v>17634.665</v>
      </c>
      <c r="CH33" s="95">
        <f aca="true" t="shared" si="2" ref="CH33:CM33">SUM(CH10:CH31)</f>
        <v>671.8399999999999</v>
      </c>
      <c r="CI33" s="95">
        <f t="shared" si="2"/>
        <v>5431.348</v>
      </c>
      <c r="CJ33" s="95">
        <f t="shared" si="2"/>
        <v>5363.867760000001</v>
      </c>
      <c r="CK33" s="95">
        <f t="shared" si="2"/>
        <v>13345.529999999999</v>
      </c>
      <c r="CL33" s="95">
        <f t="shared" si="2"/>
        <v>5575.375</v>
      </c>
      <c r="CM33" s="95">
        <f t="shared" si="2"/>
        <v>4950.2363</v>
      </c>
      <c r="CN33" s="95">
        <f>SUM(CN10:CN31)</f>
        <v>3203.2699999999995</v>
      </c>
    </row>
    <row r="34" spans="1:14" ht="3" customHeight="1" thickBot="1">
      <c r="A34" s="88"/>
      <c r="B34" s="88"/>
      <c r="C34" s="97"/>
      <c r="D34" s="97"/>
      <c r="E34" s="97"/>
      <c r="F34" s="97"/>
      <c r="G34" s="97"/>
      <c r="H34" s="97"/>
      <c r="I34" s="97"/>
      <c r="J34" s="97"/>
      <c r="K34" s="97"/>
      <c r="L34" s="97"/>
      <c r="M34" s="97"/>
      <c r="N34" s="97"/>
    </row>
    <row r="35" spans="1:14" ht="13.5" thickTop="1">
      <c r="A35" s="84" t="s">
        <v>312</v>
      </c>
      <c r="B35" s="84"/>
      <c r="C35" s="98">
        <f>SUM(C12:C32)</f>
        <v>66735.01051400001</v>
      </c>
      <c r="D35" s="98">
        <f aca="true" t="shared" si="3" ref="D35:N35">SUM(D12:D32)</f>
        <v>20091.6809</v>
      </c>
      <c r="E35" s="98">
        <f t="shared" si="3"/>
        <v>32099.431914000004</v>
      </c>
      <c r="F35" s="98">
        <f t="shared" si="3"/>
        <v>6324.6544</v>
      </c>
      <c r="G35" s="98">
        <f t="shared" si="3"/>
        <v>1858.3383000000001</v>
      </c>
      <c r="H35" s="98">
        <f t="shared" si="3"/>
        <v>1463.11</v>
      </c>
      <c r="I35" s="98">
        <f t="shared" si="3"/>
        <v>3081.13</v>
      </c>
      <c r="J35" s="98">
        <f t="shared" si="3"/>
        <v>523.0830000000001</v>
      </c>
      <c r="K35" s="98">
        <f t="shared" si="3"/>
        <v>347.68450000000007</v>
      </c>
      <c r="L35" s="98">
        <f t="shared" si="3"/>
        <v>260.43850000000003</v>
      </c>
      <c r="M35" s="98">
        <f t="shared" si="3"/>
        <v>342.72950000000003</v>
      </c>
      <c r="N35" s="98">
        <f t="shared" si="3"/>
        <v>342.72950000000003</v>
      </c>
    </row>
    <row r="36" spans="1:92" ht="12.75">
      <c r="A36" s="84"/>
      <c r="B36" s="84"/>
      <c r="C36" s="83"/>
      <c r="D36" s="83"/>
      <c r="E36" s="83"/>
      <c r="F36" s="83"/>
      <c r="G36" s="83"/>
      <c r="H36" s="83"/>
      <c r="I36" s="83"/>
      <c r="J36" s="83"/>
      <c r="K36" s="83"/>
      <c r="L36" s="83"/>
      <c r="M36" s="83"/>
      <c r="N36" s="83"/>
      <c r="U36" s="86"/>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row>
    <row r="37" spans="1:21" ht="12.75">
      <c r="A37" s="84" t="s">
        <v>313</v>
      </c>
      <c r="B37" s="89">
        <v>0.048</v>
      </c>
      <c r="C37" s="83">
        <f>SUM(D37:N37)</f>
        <v>3203.2805046720014</v>
      </c>
      <c r="D37" s="83">
        <f>D35*0.048</f>
        <v>964.4006832</v>
      </c>
      <c r="E37" s="83">
        <f aca="true" t="shared" si="4" ref="E37:N37">E35*0.048</f>
        <v>1540.7727318720003</v>
      </c>
      <c r="F37" s="83">
        <f t="shared" si="4"/>
        <v>303.5834112</v>
      </c>
      <c r="G37" s="83">
        <f t="shared" si="4"/>
        <v>89.2002384</v>
      </c>
      <c r="H37" s="83">
        <f t="shared" si="4"/>
        <v>70.22928</v>
      </c>
      <c r="I37" s="83">
        <f t="shared" si="4"/>
        <v>147.89424</v>
      </c>
      <c r="J37" s="83">
        <f t="shared" si="4"/>
        <v>25.107984000000005</v>
      </c>
      <c r="K37" s="83">
        <f t="shared" si="4"/>
        <v>16.688856000000005</v>
      </c>
      <c r="L37" s="83">
        <f t="shared" si="4"/>
        <v>12.501048000000003</v>
      </c>
      <c r="M37" s="83">
        <f t="shared" si="4"/>
        <v>16.451016000000003</v>
      </c>
      <c r="N37" s="83">
        <f t="shared" si="4"/>
        <v>16.451016000000003</v>
      </c>
      <c r="T37"/>
      <c r="U37"/>
    </row>
    <row r="38" spans="1:14" ht="12.75">
      <c r="A38" s="84" t="s">
        <v>314</v>
      </c>
      <c r="B38" s="89">
        <v>0.1</v>
      </c>
      <c r="C38" s="83">
        <f>SUM(D38:N38)</f>
        <v>6673.501051399999</v>
      </c>
      <c r="D38" s="83">
        <f>D35*0.1</f>
        <v>2009.1680900000001</v>
      </c>
      <c r="E38" s="83">
        <f aca="true" t="shared" si="5" ref="E38:N38">E35*0.1</f>
        <v>3209.9431914000006</v>
      </c>
      <c r="F38" s="83">
        <f t="shared" si="5"/>
        <v>632.4654400000001</v>
      </c>
      <c r="G38" s="83">
        <f t="shared" si="5"/>
        <v>185.83383000000003</v>
      </c>
      <c r="H38" s="83">
        <f t="shared" si="5"/>
        <v>146.311</v>
      </c>
      <c r="I38" s="83">
        <f t="shared" si="5"/>
        <v>308.11300000000006</v>
      </c>
      <c r="J38" s="83">
        <f t="shared" si="5"/>
        <v>52.30830000000001</v>
      </c>
      <c r="K38" s="83">
        <f t="shared" si="5"/>
        <v>34.76845000000001</v>
      </c>
      <c r="L38" s="83">
        <f t="shared" si="5"/>
        <v>26.043850000000006</v>
      </c>
      <c r="M38" s="83">
        <f t="shared" si="5"/>
        <v>34.27295</v>
      </c>
      <c r="N38" s="83">
        <f t="shared" si="5"/>
        <v>34.27295</v>
      </c>
    </row>
    <row r="39" spans="1:14" ht="12.75">
      <c r="A39" s="84"/>
      <c r="B39" s="90"/>
      <c r="C39" s="83"/>
      <c r="D39" s="83"/>
      <c r="E39" s="83"/>
      <c r="F39" s="83"/>
      <c r="G39" s="83"/>
      <c r="H39" s="83"/>
      <c r="I39" s="83"/>
      <c r="J39" s="83"/>
      <c r="K39" s="83"/>
      <c r="L39" s="83"/>
      <c r="M39" s="83"/>
      <c r="N39" s="83"/>
    </row>
    <row r="40" spans="1:14" ht="13.5" thickBot="1">
      <c r="A40" s="84" t="s">
        <v>315</v>
      </c>
      <c r="B40" s="84"/>
      <c r="C40" s="99">
        <f>C35+C38+C37</f>
        <v>76611.79207007201</v>
      </c>
      <c r="D40" s="99">
        <f aca="true" t="shared" si="6" ref="D40:N40">D35+D38+D37</f>
        <v>23065.2496732</v>
      </c>
      <c r="E40" s="99">
        <f t="shared" si="6"/>
        <v>36850.147837272</v>
      </c>
      <c r="F40" s="99">
        <f t="shared" si="6"/>
        <v>7260.7032512000005</v>
      </c>
      <c r="G40" s="99">
        <f t="shared" si="6"/>
        <v>2133.3723684</v>
      </c>
      <c r="H40" s="430">
        <f t="shared" si="6"/>
        <v>1679.6502799999998</v>
      </c>
      <c r="I40" s="99">
        <f t="shared" si="6"/>
        <v>3537.1372400000005</v>
      </c>
      <c r="J40" s="99">
        <f t="shared" si="6"/>
        <v>600.4992840000001</v>
      </c>
      <c r="K40" s="99">
        <f t="shared" si="6"/>
        <v>399.1418060000001</v>
      </c>
      <c r="L40" s="99">
        <f t="shared" si="6"/>
        <v>298.9833980000001</v>
      </c>
      <c r="M40" s="99">
        <f t="shared" si="6"/>
        <v>393.453466</v>
      </c>
      <c r="N40" s="99">
        <f t="shared" si="6"/>
        <v>393.453466</v>
      </c>
    </row>
    <row r="41" spans="1:13" ht="13.5" thickTop="1">
      <c r="A41" s="91"/>
      <c r="B41" s="91"/>
      <c r="C41" s="92"/>
      <c r="D41" s="92"/>
      <c r="E41" s="92"/>
      <c r="M41"/>
    </row>
    <row r="43" spans="3:13" ht="12.75">
      <c r="C43" s="32"/>
      <c r="D43" s="32"/>
      <c r="E43" s="32"/>
      <c r="F43" s="32"/>
      <c r="G43" s="32"/>
      <c r="H43" s="32"/>
      <c r="I43" s="32"/>
      <c r="J43" s="32"/>
      <c r="K43" s="32"/>
      <c r="L43" s="32"/>
      <c r="M43" s="32"/>
    </row>
    <row r="44" spans="3:13" ht="12.75">
      <c r="C44" s="32"/>
      <c r="D44" s="32"/>
      <c r="E44" s="32"/>
      <c r="F44" s="32"/>
      <c r="G44" s="32"/>
      <c r="H44" s="32"/>
      <c r="I44" s="32"/>
      <c r="J44" s="32"/>
      <c r="K44" s="32"/>
      <c r="L44" s="32"/>
      <c r="M44" s="32"/>
    </row>
    <row r="45" spans="3:13" ht="12.75">
      <c r="C45" s="32"/>
      <c r="D45" s="32"/>
      <c r="E45" s="32"/>
      <c r="F45" s="32"/>
      <c r="G45" s="32"/>
      <c r="H45" s="32"/>
      <c r="I45" s="32"/>
      <c r="J45" s="32"/>
      <c r="K45" s="32"/>
      <c r="L45" s="32"/>
      <c r="M45" s="32"/>
    </row>
    <row r="46" spans="3:13" ht="12.75">
      <c r="C46" s="32"/>
      <c r="D46" s="32"/>
      <c r="E46" s="32"/>
      <c r="F46" s="32"/>
      <c r="G46" s="32"/>
      <c r="H46" s="32"/>
      <c r="I46" s="32"/>
      <c r="J46" s="32"/>
      <c r="K46" s="32"/>
      <c r="L46" s="32"/>
      <c r="M46" s="32"/>
    </row>
    <row r="47" spans="3:13" ht="12.75">
      <c r="C47" s="32"/>
      <c r="D47" s="32"/>
      <c r="E47" s="32"/>
      <c r="F47" s="32"/>
      <c r="G47" s="32"/>
      <c r="H47" s="32"/>
      <c r="I47" s="32"/>
      <c r="J47" s="32"/>
      <c r="K47" s="32"/>
      <c r="L47" s="32"/>
      <c r="M47" s="32"/>
    </row>
    <row r="48" spans="3:13" ht="12.75">
      <c r="C48" s="32"/>
      <c r="D48" s="32"/>
      <c r="E48" s="32"/>
      <c r="F48" s="32"/>
      <c r="G48" s="32"/>
      <c r="H48" s="32"/>
      <c r="I48" s="32"/>
      <c r="J48" s="32"/>
      <c r="K48" s="32"/>
      <c r="L48" s="32"/>
      <c r="M48" s="32"/>
    </row>
    <row r="49" spans="3:13" ht="12.75">
      <c r="C49" s="32"/>
      <c r="D49" s="32"/>
      <c r="E49" s="32"/>
      <c r="F49" s="32"/>
      <c r="G49" s="32"/>
      <c r="H49" s="32"/>
      <c r="I49" s="32"/>
      <c r="J49" s="32"/>
      <c r="K49" s="32"/>
      <c r="L49" s="32"/>
      <c r="M49" s="32"/>
    </row>
    <row r="50" spans="3:13" ht="12.75">
      <c r="C50" s="32"/>
      <c r="D50" s="32"/>
      <c r="E50" s="32"/>
      <c r="F50" s="32"/>
      <c r="G50" s="32"/>
      <c r="H50" s="32"/>
      <c r="I50" s="32"/>
      <c r="J50" s="32"/>
      <c r="K50" s="32"/>
      <c r="L50" s="32"/>
      <c r="M50" s="32"/>
    </row>
    <row r="51" spans="3:13" ht="12.75">
      <c r="C51" s="32"/>
      <c r="D51" s="32"/>
      <c r="E51" s="32"/>
      <c r="F51" s="32"/>
      <c r="G51" s="32"/>
      <c r="H51" s="32"/>
      <c r="I51" s="32"/>
      <c r="J51" s="32"/>
      <c r="K51" s="32"/>
      <c r="L51" s="32"/>
      <c r="M51" s="32"/>
    </row>
    <row r="52" spans="3:13" ht="12.75">
      <c r="C52" s="32"/>
      <c r="D52" s="32"/>
      <c r="E52" s="32"/>
      <c r="F52" s="32"/>
      <c r="G52" s="32"/>
      <c r="H52" s="32"/>
      <c r="I52" s="32"/>
      <c r="J52" s="32"/>
      <c r="K52" s="32"/>
      <c r="L52" s="32"/>
      <c r="M52" s="32"/>
    </row>
    <row r="53" spans="3:13" ht="12.75">
      <c r="C53" s="32"/>
      <c r="D53" s="32"/>
      <c r="E53" s="32"/>
      <c r="F53" s="32"/>
      <c r="G53" s="32"/>
      <c r="H53" s="32"/>
      <c r="I53" s="32"/>
      <c r="J53" s="32"/>
      <c r="K53" s="32"/>
      <c r="L53" s="32"/>
      <c r="M53" s="32"/>
    </row>
    <row r="54" spans="3:13" ht="12.75">
      <c r="C54" s="32"/>
      <c r="D54" s="32"/>
      <c r="E54" s="32"/>
      <c r="F54" s="32"/>
      <c r="G54" s="32"/>
      <c r="H54" s="32"/>
      <c r="I54" s="32"/>
      <c r="J54" s="32"/>
      <c r="K54" s="32"/>
      <c r="L54" s="32"/>
      <c r="M54" s="32"/>
    </row>
    <row r="55" spans="3:13" ht="12.75">
      <c r="C55" s="32"/>
      <c r="D55" s="32"/>
      <c r="E55" s="32"/>
      <c r="F55" s="32"/>
      <c r="G55" s="32"/>
      <c r="H55" s="32"/>
      <c r="I55" s="32"/>
      <c r="J55" s="32"/>
      <c r="K55" s="32"/>
      <c r="L55" s="32"/>
      <c r="M55" s="32"/>
    </row>
    <row r="56" spans="3:13" ht="12.75">
      <c r="C56" s="32"/>
      <c r="D56" s="32"/>
      <c r="E56" s="32"/>
      <c r="F56" s="32"/>
      <c r="G56" s="32"/>
      <c r="H56" s="32"/>
      <c r="I56" s="32"/>
      <c r="J56" s="32"/>
      <c r="K56" s="32"/>
      <c r="L56" s="32"/>
      <c r="M56" s="32"/>
    </row>
    <row r="57" spans="3:13" ht="12.75">
      <c r="C57" s="32"/>
      <c r="D57" s="32"/>
      <c r="E57" s="32"/>
      <c r="F57" s="32"/>
      <c r="G57" s="32"/>
      <c r="H57" s="32"/>
      <c r="I57" s="32"/>
      <c r="J57" s="32"/>
      <c r="K57" s="32"/>
      <c r="L57" s="32"/>
      <c r="M57" s="32"/>
    </row>
    <row r="58" spans="3:13" ht="12.75">
      <c r="C58" s="32"/>
      <c r="D58" s="32"/>
      <c r="E58" s="32"/>
      <c r="F58" s="32"/>
      <c r="G58" s="32"/>
      <c r="H58" s="32"/>
      <c r="I58" s="32"/>
      <c r="J58" s="32"/>
      <c r="K58" s="32"/>
      <c r="L58" s="32"/>
      <c r="M58" s="32"/>
    </row>
    <row r="59" spans="3:13" ht="12.75">
      <c r="C59" s="32"/>
      <c r="D59" s="32"/>
      <c r="E59" s="32"/>
      <c r="F59" s="32"/>
      <c r="G59" s="32"/>
      <c r="H59" s="32"/>
      <c r="I59" s="32"/>
      <c r="J59" s="32"/>
      <c r="K59" s="32"/>
      <c r="L59" s="32"/>
      <c r="M59" s="32"/>
    </row>
    <row r="60" spans="3:13" ht="12.75">
      <c r="C60" s="32"/>
      <c r="D60" s="32"/>
      <c r="E60" s="32"/>
      <c r="F60" s="32"/>
      <c r="G60" s="32"/>
      <c r="H60" s="32"/>
      <c r="I60" s="32"/>
      <c r="J60" s="32"/>
      <c r="K60" s="32"/>
      <c r="L60" s="32"/>
      <c r="M60" s="32"/>
    </row>
    <row r="61" spans="3:13" ht="12.75">
      <c r="C61" s="32"/>
      <c r="D61" s="32"/>
      <c r="E61" s="32"/>
      <c r="F61" s="32"/>
      <c r="G61" s="32"/>
      <c r="H61" s="32"/>
      <c r="I61" s="32"/>
      <c r="J61" s="32"/>
      <c r="K61" s="32"/>
      <c r="L61" s="32"/>
      <c r="M61" s="32"/>
    </row>
    <row r="62" spans="3:13" ht="12.75">
      <c r="C62" s="32"/>
      <c r="D62" s="32"/>
      <c r="E62" s="32"/>
      <c r="F62" s="32"/>
      <c r="G62" s="32"/>
      <c r="H62" s="32"/>
      <c r="I62" s="32"/>
      <c r="J62" s="32"/>
      <c r="K62" s="32"/>
      <c r="L62" s="32"/>
      <c r="M62" s="32"/>
    </row>
    <row r="63" spans="3:13" ht="12.75">
      <c r="C63" s="32"/>
      <c r="D63" s="32"/>
      <c r="E63" s="32"/>
      <c r="F63" s="32"/>
      <c r="G63" s="32"/>
      <c r="H63" s="32"/>
      <c r="I63" s="32"/>
      <c r="J63" s="32"/>
      <c r="K63" s="32"/>
      <c r="L63" s="32"/>
      <c r="M63" s="32"/>
    </row>
    <row r="64" spans="3:13" ht="12.75">
      <c r="C64" s="32"/>
      <c r="D64" s="32"/>
      <c r="E64" s="32"/>
      <c r="F64" s="32"/>
      <c r="G64" s="32"/>
      <c r="H64" s="32"/>
      <c r="I64" s="32"/>
      <c r="J64" s="32"/>
      <c r="K64" s="32"/>
      <c r="L64" s="32"/>
      <c r="M64" s="32"/>
    </row>
    <row r="65" spans="3:13" ht="12.75">
      <c r="C65" s="32"/>
      <c r="D65" s="32"/>
      <c r="E65" s="32"/>
      <c r="F65" s="32"/>
      <c r="G65" s="32"/>
      <c r="H65" s="32"/>
      <c r="I65" s="32"/>
      <c r="J65" s="32"/>
      <c r="K65" s="32"/>
      <c r="L65" s="32"/>
      <c r="M65" s="32"/>
    </row>
    <row r="66" spans="3:13" ht="12.75">
      <c r="C66" s="32"/>
      <c r="D66" s="32"/>
      <c r="E66" s="32"/>
      <c r="F66" s="32"/>
      <c r="G66" s="32"/>
      <c r="H66" s="32"/>
      <c r="I66" s="32"/>
      <c r="J66" s="32"/>
      <c r="K66" s="32"/>
      <c r="L66" s="32"/>
      <c r="M66" s="32"/>
    </row>
    <row r="67" spans="3:13" ht="12.75">
      <c r="C67" s="32"/>
      <c r="D67" s="32"/>
      <c r="E67" s="32"/>
      <c r="F67" s="32"/>
      <c r="G67" s="32"/>
      <c r="H67" s="32"/>
      <c r="I67" s="32"/>
      <c r="J67" s="32"/>
      <c r="K67" s="32"/>
      <c r="L67" s="32"/>
      <c r="M67" s="32"/>
    </row>
    <row r="68" spans="3:13" ht="12.75">
      <c r="C68" s="32"/>
      <c r="D68" s="32"/>
      <c r="E68" s="32"/>
      <c r="F68" s="32"/>
      <c r="G68" s="32"/>
      <c r="H68" s="32"/>
      <c r="I68" s="32"/>
      <c r="J68" s="32"/>
      <c r="K68" s="32"/>
      <c r="L68" s="32"/>
      <c r="M68" s="32"/>
    </row>
    <row r="69" spans="3:13" ht="12.75">
      <c r="C69" s="32"/>
      <c r="D69" s="32"/>
      <c r="E69" s="32"/>
      <c r="F69" s="32"/>
      <c r="G69" s="32"/>
      <c r="H69" s="32"/>
      <c r="I69" s="32"/>
      <c r="J69" s="32"/>
      <c r="K69" s="32"/>
      <c r="L69" s="32"/>
      <c r="M69" s="32"/>
    </row>
    <row r="70" spans="3:13" ht="12.75">
      <c r="C70" s="32"/>
      <c r="D70" s="32"/>
      <c r="E70" s="32"/>
      <c r="F70" s="32"/>
      <c r="G70" s="32"/>
      <c r="H70" s="32"/>
      <c r="I70" s="32"/>
      <c r="J70" s="32"/>
      <c r="K70" s="32"/>
      <c r="L70" s="32"/>
      <c r="M70" s="32"/>
    </row>
    <row r="71" spans="3:13" ht="12.75">
      <c r="C71" s="32"/>
      <c r="D71" s="32"/>
      <c r="E71" s="32"/>
      <c r="F71" s="32"/>
      <c r="G71" s="32"/>
      <c r="H71" s="32"/>
      <c r="I71" s="32"/>
      <c r="J71" s="32"/>
      <c r="K71" s="32"/>
      <c r="L71" s="32"/>
      <c r="M71" s="32"/>
    </row>
    <row r="72" spans="3:13" ht="12.75">
      <c r="C72" s="32"/>
      <c r="D72" s="32"/>
      <c r="E72" s="32"/>
      <c r="F72" s="32"/>
      <c r="G72" s="32"/>
      <c r="H72" s="32"/>
      <c r="I72" s="32"/>
      <c r="J72" s="32"/>
      <c r="K72" s="32"/>
      <c r="L72" s="32"/>
      <c r="M72" s="32"/>
    </row>
    <row r="73" spans="3:13" ht="12.75">
      <c r="C73" s="32"/>
      <c r="D73" s="32"/>
      <c r="E73" s="32"/>
      <c r="F73" s="32"/>
      <c r="G73" s="32"/>
      <c r="H73" s="32"/>
      <c r="I73" s="32"/>
      <c r="J73" s="32"/>
      <c r="K73" s="32"/>
      <c r="L73" s="32"/>
      <c r="M73" s="32"/>
    </row>
    <row r="74" spans="3:18" ht="12.75">
      <c r="C74" s="32"/>
      <c r="D74" s="32"/>
      <c r="E74" s="32"/>
      <c r="F74" s="32"/>
      <c r="G74" s="32"/>
      <c r="H74" s="32"/>
      <c r="I74" s="32"/>
      <c r="J74" s="32"/>
      <c r="K74" s="32"/>
      <c r="L74" s="32"/>
      <c r="M74" s="32"/>
      <c r="Q74" s="32"/>
      <c r="R74" s="32"/>
    </row>
    <row r="75" spans="3:18" ht="12.75">
      <c r="C75" s="32"/>
      <c r="D75" s="32"/>
      <c r="E75" s="32"/>
      <c r="F75" s="32"/>
      <c r="G75" s="32"/>
      <c r="H75" s="32"/>
      <c r="I75" s="32"/>
      <c r="J75" s="32"/>
      <c r="K75" s="32"/>
      <c r="L75" s="32"/>
      <c r="M75" s="32"/>
      <c r="Q75" s="32"/>
      <c r="R75" s="32"/>
    </row>
    <row r="76" spans="3:18" ht="12.75">
      <c r="C76" s="32"/>
      <c r="D76" s="32"/>
      <c r="E76" s="32"/>
      <c r="F76" s="32"/>
      <c r="G76" s="32"/>
      <c r="H76" s="32"/>
      <c r="I76" s="32"/>
      <c r="J76" s="32"/>
      <c r="K76" s="32"/>
      <c r="L76" s="32"/>
      <c r="M76" s="32"/>
      <c r="N76" s="32"/>
      <c r="O76" s="32"/>
      <c r="P76" s="32"/>
      <c r="Q76" s="32"/>
      <c r="R76" s="32"/>
    </row>
    <row r="77" spans="3:18" ht="12.75">
      <c r="C77" s="32"/>
      <c r="D77" s="32"/>
      <c r="E77" s="32"/>
      <c r="F77" s="32"/>
      <c r="G77" s="32"/>
      <c r="H77" s="32"/>
      <c r="I77" s="32"/>
      <c r="J77" s="32"/>
      <c r="K77" s="32"/>
      <c r="L77" s="32"/>
      <c r="M77" s="32"/>
      <c r="N77" s="32"/>
      <c r="O77" s="32"/>
      <c r="P77" s="32"/>
      <c r="Q77" s="32"/>
      <c r="R77" s="32"/>
    </row>
    <row r="78" spans="3:18" ht="12.75">
      <c r="C78" s="32"/>
      <c r="D78" s="32"/>
      <c r="E78" s="32"/>
      <c r="F78" s="32"/>
      <c r="G78" s="32"/>
      <c r="H78" s="32"/>
      <c r="I78" s="32"/>
      <c r="J78" s="32"/>
      <c r="K78" s="32"/>
      <c r="L78" s="32"/>
      <c r="M78" s="32"/>
      <c r="N78" s="32"/>
      <c r="O78" s="32"/>
      <c r="P78" s="32"/>
      <c r="Q78" s="32"/>
      <c r="R78" s="32"/>
    </row>
    <row r="79" spans="3:13" ht="12.75">
      <c r="C79" s="32"/>
      <c r="D79" s="32"/>
      <c r="E79" s="32"/>
      <c r="F79" s="32"/>
      <c r="G79" s="32"/>
      <c r="H79" s="32"/>
      <c r="I79" s="32"/>
      <c r="J79" s="32"/>
      <c r="K79" s="32"/>
      <c r="L79" s="32"/>
      <c r="M79" s="32"/>
    </row>
    <row r="80" spans="3:13" ht="12.75">
      <c r="C80" s="32"/>
      <c r="D80" s="32"/>
      <c r="E80" s="32"/>
      <c r="F80" s="32"/>
      <c r="G80" s="32"/>
      <c r="H80" s="32"/>
      <c r="I80" s="32"/>
      <c r="J80" s="32"/>
      <c r="K80" s="32"/>
      <c r="L80" s="32"/>
      <c r="M80" s="32"/>
    </row>
  </sheetData>
  <sheetProtection/>
  <hyperlinks>
    <hyperlink ref="E8" location="'Stations - Option 1'!A1" display="'Stations - Option 1'!A1"/>
    <hyperlink ref="F8" location="'Stations - Option 1 (2)'!A1" display="'Stations - Option 1 (2)'!A1"/>
    <hyperlink ref="J8" location="'Henderson Transition '!A1" display="'Henderson Transition '!A1"/>
    <hyperlink ref="L8" location="'Southdown Transition '!A1" display="'Southdown Transition '!A1"/>
    <hyperlink ref="K8" location="'Southdown Transition '!A1" display="'Southdown Transition '!A1"/>
    <hyperlink ref="N8" location="'Southdown Transition '!A1" display="'Southdown Transition '!A1"/>
    <hyperlink ref="M8" location="'Southdown Transition '!A1" display="'Southdown Transition '!A1"/>
    <hyperlink ref="I8" location="'Enabling Works'!A1" display="'Enabling Works'!A1"/>
    <hyperlink ref="H8" location="'2. Enabling Wks OTA-PEN C'!A1" display="'2. Enabling Wks OTA-PEN C'!A1"/>
    <hyperlink ref="G8" location="'1. Enabling Wks 110kV Tie Lines'!A1" display="'1. Enabling Wks 110kV Tie Lines'!A1"/>
  </hyperlinks>
  <printOptions/>
  <pageMargins left="0.59" right="0.41" top="0.72" bottom="0.4330708661417323" header="0.38" footer="0.31496062992125984"/>
  <pageSetup fitToWidth="4" fitToHeight="1" horizontalDpi="600" verticalDpi="600" orientation="landscape" paperSize="9" scale="51" r:id="rId1"/>
  <headerFooter alignWithMargins="0">
    <oddFooter>&amp;L&amp;D&amp;R&amp;F&amp;A</oddFooter>
  </headerFooter>
</worksheet>
</file>

<file path=xl/worksheets/sheet8.xml><?xml version="1.0" encoding="utf-8"?>
<worksheet xmlns="http://schemas.openxmlformats.org/spreadsheetml/2006/main" xmlns:r="http://schemas.openxmlformats.org/officeDocument/2006/relationships">
  <dimension ref="A1:I305"/>
  <sheetViews>
    <sheetView zoomScale="80" zoomScaleNormal="80" zoomScalePageLayoutView="0" workbookViewId="0" topLeftCell="A1">
      <selection activeCell="A1" sqref="A1"/>
    </sheetView>
  </sheetViews>
  <sheetFormatPr defaultColWidth="9.140625" defaultRowHeight="12.75"/>
  <cols>
    <col min="1" max="1" width="12.28125" style="0" customWidth="1"/>
    <col min="2" max="2" width="10.8515625" style="0" customWidth="1"/>
    <col min="3" max="3" width="123.57421875" style="0" customWidth="1"/>
    <col min="4" max="4" width="12.8515625" style="0" bestFit="1" customWidth="1"/>
    <col min="5" max="6" width="14.140625" style="0" bestFit="1" customWidth="1"/>
    <col min="7" max="7" width="14.8515625" style="0" bestFit="1" customWidth="1"/>
    <col min="8" max="8" width="17.421875" style="0" bestFit="1" customWidth="1"/>
  </cols>
  <sheetData>
    <row r="1" ht="12.75">
      <c r="A1" s="68" t="s">
        <v>799</v>
      </c>
    </row>
    <row r="2" ht="13.5" thickBot="1"/>
    <row r="3" spans="1:9" ht="46.5" customHeight="1" thickTop="1">
      <c r="A3" s="289" t="s">
        <v>164</v>
      </c>
      <c r="B3" s="289" t="s">
        <v>724</v>
      </c>
      <c r="C3" s="294"/>
      <c r="D3" s="295" t="s">
        <v>424</v>
      </c>
      <c r="E3" s="295" t="s">
        <v>425</v>
      </c>
      <c r="F3" s="296" t="s">
        <v>295</v>
      </c>
      <c r="G3" s="297" t="s">
        <v>426</v>
      </c>
      <c r="H3" s="297" t="s">
        <v>427</v>
      </c>
      <c r="I3" s="290"/>
    </row>
    <row r="4" spans="1:9" ht="36.75" customHeight="1">
      <c r="A4" s="289" t="s">
        <v>6</v>
      </c>
      <c r="B4" s="289" t="s">
        <v>13</v>
      </c>
      <c r="C4" s="299" t="s">
        <v>566</v>
      </c>
      <c r="D4" s="300">
        <v>1690</v>
      </c>
      <c r="E4" s="300">
        <v>17216</v>
      </c>
      <c r="F4" s="301">
        <v>18906</v>
      </c>
      <c r="G4" s="305">
        <v>-18906</v>
      </c>
      <c r="H4" s="298">
        <f aca="true" t="shared" si="0" ref="H4:H67">F4+G4</f>
        <v>0</v>
      </c>
      <c r="I4" s="289"/>
    </row>
    <row r="5" spans="1:9" ht="51.75" customHeight="1">
      <c r="A5" s="289" t="s">
        <v>6</v>
      </c>
      <c r="B5" s="289" t="s">
        <v>13</v>
      </c>
      <c r="C5" s="299" t="s">
        <v>567</v>
      </c>
      <c r="D5" s="300">
        <v>0</v>
      </c>
      <c r="E5" s="300">
        <v>9328</v>
      </c>
      <c r="F5" s="301">
        <v>9328</v>
      </c>
      <c r="G5" s="305">
        <v>-9328</v>
      </c>
      <c r="H5" s="298">
        <f t="shared" si="0"/>
        <v>0</v>
      </c>
      <c r="I5" s="289"/>
    </row>
    <row r="6" spans="1:9" ht="51.75" customHeight="1">
      <c r="A6" s="289" t="s">
        <v>6</v>
      </c>
      <c r="B6" s="289" t="s">
        <v>13</v>
      </c>
      <c r="C6" s="299" t="s">
        <v>568</v>
      </c>
      <c r="D6" s="300">
        <v>4224</v>
      </c>
      <c r="E6" s="300">
        <v>104338</v>
      </c>
      <c r="F6" s="301">
        <v>108562</v>
      </c>
      <c r="G6" s="298">
        <v>2850.07</v>
      </c>
      <c r="H6" s="298">
        <f t="shared" si="0"/>
        <v>111412.07</v>
      </c>
      <c r="I6" s="289"/>
    </row>
    <row r="7" spans="1:9" ht="51.75" customHeight="1">
      <c r="A7" s="289" t="s">
        <v>6</v>
      </c>
      <c r="B7" s="289" t="s">
        <v>13</v>
      </c>
      <c r="C7" s="299" t="s">
        <v>569</v>
      </c>
      <c r="D7" s="300">
        <v>0</v>
      </c>
      <c r="E7" s="300">
        <v>17755</v>
      </c>
      <c r="F7" s="301">
        <v>17755</v>
      </c>
      <c r="G7" s="298">
        <v>0</v>
      </c>
      <c r="H7" s="298">
        <f t="shared" si="0"/>
        <v>17755</v>
      </c>
      <c r="I7" s="289"/>
    </row>
    <row r="8" spans="1:9" ht="51.75" customHeight="1">
      <c r="A8" s="289" t="s">
        <v>6</v>
      </c>
      <c r="B8" s="289" t="s">
        <v>13</v>
      </c>
      <c r="C8" s="299" t="s">
        <v>570</v>
      </c>
      <c r="D8" s="300">
        <v>0</v>
      </c>
      <c r="E8" s="300">
        <v>406430</v>
      </c>
      <c r="F8" s="301">
        <v>406430</v>
      </c>
      <c r="G8" s="305">
        <v>321715.058</v>
      </c>
      <c r="H8" s="298">
        <f t="shared" si="0"/>
        <v>728145.058</v>
      </c>
      <c r="I8" s="289"/>
    </row>
    <row r="9" spans="1:9" ht="51.75" customHeight="1">
      <c r="A9" s="289" t="s">
        <v>6</v>
      </c>
      <c r="B9" s="289" t="s">
        <v>13</v>
      </c>
      <c r="C9" s="330" t="s">
        <v>574</v>
      </c>
      <c r="D9" s="300">
        <v>0</v>
      </c>
      <c r="E9" s="300">
        <v>16960</v>
      </c>
      <c r="F9" s="301">
        <v>16960</v>
      </c>
      <c r="G9" s="298">
        <v>0</v>
      </c>
      <c r="H9" s="298">
        <f t="shared" si="0"/>
        <v>16960</v>
      </c>
      <c r="I9" s="289"/>
    </row>
    <row r="10" spans="1:9" ht="51.75" customHeight="1">
      <c r="A10" s="289" t="s">
        <v>6</v>
      </c>
      <c r="B10" s="289" t="s">
        <v>13</v>
      </c>
      <c r="C10" s="311" t="s">
        <v>577</v>
      </c>
      <c r="D10" s="300"/>
      <c r="E10" s="300"/>
      <c r="F10" s="301"/>
      <c r="G10" s="298">
        <v>3490.96</v>
      </c>
      <c r="H10" s="298">
        <f t="shared" si="0"/>
        <v>3490.96</v>
      </c>
      <c r="I10" s="289"/>
    </row>
    <row r="11" spans="1:9" ht="51.75" customHeight="1">
      <c r="A11" s="289" t="s">
        <v>6</v>
      </c>
      <c r="B11" s="289" t="s">
        <v>13</v>
      </c>
      <c r="C11" s="304" t="s">
        <v>606</v>
      </c>
      <c r="D11" s="300"/>
      <c r="E11" s="300"/>
      <c r="F11" s="301"/>
      <c r="G11" s="298">
        <v>7111.92</v>
      </c>
      <c r="H11" s="298">
        <f t="shared" si="0"/>
        <v>7111.92</v>
      </c>
      <c r="I11" s="289"/>
    </row>
    <row r="12" spans="1:9" ht="51.75" customHeight="1">
      <c r="A12" s="289" t="s">
        <v>6</v>
      </c>
      <c r="B12" s="289" t="s">
        <v>13</v>
      </c>
      <c r="C12" s="304" t="s">
        <v>621</v>
      </c>
      <c r="D12" s="300"/>
      <c r="E12" s="300"/>
      <c r="F12" s="301"/>
      <c r="G12" s="298">
        <v>734.4861999523001</v>
      </c>
      <c r="H12" s="298">
        <f t="shared" si="0"/>
        <v>734.4861999523001</v>
      </c>
      <c r="I12" s="289"/>
    </row>
    <row r="13" spans="1:9" ht="51.75" customHeight="1">
      <c r="A13" s="289" t="s">
        <v>6</v>
      </c>
      <c r="B13" s="289" t="s">
        <v>13</v>
      </c>
      <c r="C13" s="304" t="s">
        <v>628</v>
      </c>
      <c r="D13" s="300"/>
      <c r="E13" s="300"/>
      <c r="F13" s="301"/>
      <c r="G13" s="298">
        <v>699.9405</v>
      </c>
      <c r="H13" s="298">
        <f t="shared" si="0"/>
        <v>699.9405</v>
      </c>
      <c r="I13" s="289"/>
    </row>
    <row r="14" spans="1:9" ht="51.75" customHeight="1">
      <c r="A14" s="289" t="s">
        <v>6</v>
      </c>
      <c r="B14" s="289" t="s">
        <v>13</v>
      </c>
      <c r="C14" s="304" t="s">
        <v>629</v>
      </c>
      <c r="D14" s="300"/>
      <c r="E14" s="300"/>
      <c r="F14" s="301"/>
      <c r="G14" s="298">
        <v>6751</v>
      </c>
      <c r="H14" s="298">
        <f t="shared" si="0"/>
        <v>6751</v>
      </c>
      <c r="I14" s="289"/>
    </row>
    <row r="15" spans="1:9" ht="51.75" customHeight="1">
      <c r="A15" s="289" t="s">
        <v>6</v>
      </c>
      <c r="B15" s="289" t="s">
        <v>13</v>
      </c>
      <c r="C15" s="304" t="s">
        <v>630</v>
      </c>
      <c r="D15" s="300"/>
      <c r="E15" s="300"/>
      <c r="F15" s="301"/>
      <c r="G15" s="298">
        <v>61221.44350000001</v>
      </c>
      <c r="H15" s="298">
        <f t="shared" si="0"/>
        <v>61221.44350000001</v>
      </c>
      <c r="I15" s="289"/>
    </row>
    <row r="16" spans="1:9" ht="51.75" customHeight="1">
      <c r="A16" s="289" t="s">
        <v>6</v>
      </c>
      <c r="B16" s="289" t="s">
        <v>13</v>
      </c>
      <c r="C16" s="304" t="s">
        <v>635</v>
      </c>
      <c r="D16" s="300"/>
      <c r="E16" s="300"/>
      <c r="F16" s="301"/>
      <c r="G16" s="298">
        <v>558.38</v>
      </c>
      <c r="H16" s="298">
        <f t="shared" si="0"/>
        <v>558.38</v>
      </c>
      <c r="I16" s="289"/>
    </row>
    <row r="17" spans="1:9" ht="51.75" customHeight="1">
      <c r="A17" s="289" t="s">
        <v>6</v>
      </c>
      <c r="B17" s="289" t="s">
        <v>13</v>
      </c>
      <c r="C17" s="304" t="s">
        <v>642</v>
      </c>
      <c r="D17" s="300"/>
      <c r="E17" s="300"/>
      <c r="F17" s="301"/>
      <c r="G17" s="298">
        <v>4560</v>
      </c>
      <c r="H17" s="298">
        <f t="shared" si="0"/>
        <v>4560</v>
      </c>
      <c r="I17" s="289"/>
    </row>
    <row r="18" spans="1:9" ht="51.75" customHeight="1">
      <c r="A18" s="289" t="s">
        <v>6</v>
      </c>
      <c r="B18" s="289" t="s">
        <v>13</v>
      </c>
      <c r="C18" s="304" t="s">
        <v>647</v>
      </c>
      <c r="D18" s="300"/>
      <c r="E18" s="300"/>
      <c r="F18" s="301"/>
      <c r="G18" s="298">
        <v>47749.00680000001</v>
      </c>
      <c r="H18" s="298">
        <f t="shared" si="0"/>
        <v>47749.00680000001</v>
      </c>
      <c r="I18" s="289"/>
    </row>
    <row r="19" spans="1:9" ht="51.75" customHeight="1">
      <c r="A19" s="289" t="s">
        <v>6</v>
      </c>
      <c r="B19" s="289" t="s">
        <v>13</v>
      </c>
      <c r="C19" s="304" t="s">
        <v>654</v>
      </c>
      <c r="D19" s="300"/>
      <c r="E19" s="300"/>
      <c r="F19" s="301"/>
      <c r="G19" s="298">
        <v>6930.502350000002</v>
      </c>
      <c r="H19" s="298">
        <f t="shared" si="0"/>
        <v>6930.502350000002</v>
      </c>
      <c r="I19" s="289"/>
    </row>
    <row r="20" spans="1:9" ht="51.75" customHeight="1">
      <c r="A20" s="289" t="s">
        <v>6</v>
      </c>
      <c r="B20" s="289" t="s">
        <v>13</v>
      </c>
      <c r="C20" s="304" t="s">
        <v>655</v>
      </c>
      <c r="D20" s="300"/>
      <c r="E20" s="300"/>
      <c r="F20" s="301"/>
      <c r="G20" s="298">
        <v>7791.873750000001</v>
      </c>
      <c r="H20" s="298">
        <f t="shared" si="0"/>
        <v>7791.873750000001</v>
      </c>
      <c r="I20" s="289"/>
    </row>
    <row r="21" spans="1:9" ht="51.75" customHeight="1">
      <c r="A21" s="289" t="s">
        <v>6</v>
      </c>
      <c r="B21" s="289" t="s">
        <v>13</v>
      </c>
      <c r="C21" s="304" t="s">
        <v>656</v>
      </c>
      <c r="D21" s="300"/>
      <c r="E21" s="300"/>
      <c r="F21" s="301"/>
      <c r="G21" s="298">
        <v>1812.366</v>
      </c>
      <c r="H21" s="298">
        <f t="shared" si="0"/>
        <v>1812.366</v>
      </c>
      <c r="I21" s="289"/>
    </row>
    <row r="22" spans="1:9" ht="51.75" customHeight="1">
      <c r="A22" s="289" t="s">
        <v>6</v>
      </c>
      <c r="B22" s="289" t="s">
        <v>13</v>
      </c>
      <c r="C22" s="304" t="s">
        <v>657</v>
      </c>
      <c r="D22" s="300"/>
      <c r="E22" s="300"/>
      <c r="F22" s="301"/>
      <c r="G22" s="298">
        <v>4062.7365000000004</v>
      </c>
      <c r="H22" s="298">
        <f t="shared" si="0"/>
        <v>4062.7365000000004</v>
      </c>
      <c r="I22" s="289"/>
    </row>
    <row r="23" spans="1:9" ht="51.75" customHeight="1">
      <c r="A23" s="289" t="s">
        <v>6</v>
      </c>
      <c r="B23" s="289" t="s">
        <v>13</v>
      </c>
      <c r="C23" s="311" t="s">
        <v>674</v>
      </c>
      <c r="D23" s="300"/>
      <c r="E23" s="300"/>
      <c r="F23" s="301"/>
      <c r="G23" s="298">
        <v>11398.44</v>
      </c>
      <c r="H23" s="298">
        <f t="shared" si="0"/>
        <v>11398.44</v>
      </c>
      <c r="I23" s="289"/>
    </row>
    <row r="24" spans="1:9" ht="51.75" customHeight="1">
      <c r="A24" s="289" t="s">
        <v>6</v>
      </c>
      <c r="B24" s="289" t="s">
        <v>13</v>
      </c>
      <c r="C24" s="312" t="s">
        <v>684</v>
      </c>
      <c r="D24" s="300"/>
      <c r="E24" s="300"/>
      <c r="F24" s="301"/>
      <c r="G24" s="298">
        <v>27161.24</v>
      </c>
      <c r="H24" s="298">
        <f t="shared" si="0"/>
        <v>27161.24</v>
      </c>
      <c r="I24" s="289"/>
    </row>
    <row r="25" spans="1:9" ht="51.75" customHeight="1">
      <c r="A25" s="289" t="s">
        <v>6</v>
      </c>
      <c r="B25" s="289" t="s">
        <v>13</v>
      </c>
      <c r="C25" s="312" t="s">
        <v>685</v>
      </c>
      <c r="D25" s="300"/>
      <c r="E25" s="300"/>
      <c r="F25" s="301"/>
      <c r="G25" s="298">
        <v>774.17175</v>
      </c>
      <c r="H25" s="298">
        <f t="shared" si="0"/>
        <v>774.17175</v>
      </c>
      <c r="I25" s="289"/>
    </row>
    <row r="26" spans="1:9" ht="51.75" customHeight="1">
      <c r="A26" s="289" t="s">
        <v>6</v>
      </c>
      <c r="B26" s="289" t="s">
        <v>13</v>
      </c>
      <c r="C26" s="311" t="s">
        <v>690</v>
      </c>
      <c r="D26" s="300"/>
      <c r="E26" s="300"/>
      <c r="F26" s="301"/>
      <c r="G26" s="298">
        <v>13779.06196</v>
      </c>
      <c r="H26" s="298">
        <f t="shared" si="0"/>
        <v>13779.06196</v>
      </c>
      <c r="I26" s="289"/>
    </row>
    <row r="27" spans="1:9" ht="51.75" customHeight="1">
      <c r="A27" s="289" t="s">
        <v>6</v>
      </c>
      <c r="B27" s="289" t="s">
        <v>13</v>
      </c>
      <c r="C27" s="326" t="s">
        <v>703</v>
      </c>
      <c r="D27" s="300"/>
      <c r="E27" s="300"/>
      <c r="F27" s="301"/>
      <c r="G27" s="298">
        <v>1939.4820000000002</v>
      </c>
      <c r="H27" s="298">
        <f t="shared" si="0"/>
        <v>1939.4820000000002</v>
      </c>
      <c r="I27" s="289"/>
    </row>
    <row r="28" spans="1:9" ht="51.75" customHeight="1">
      <c r="A28" s="289" t="s">
        <v>6</v>
      </c>
      <c r="B28" s="289" t="s">
        <v>24</v>
      </c>
      <c r="C28" s="314" t="s">
        <v>513</v>
      </c>
      <c r="D28" s="300">
        <v>5528</v>
      </c>
      <c r="E28" s="300">
        <v>32067</v>
      </c>
      <c r="F28" s="301">
        <v>37595</v>
      </c>
      <c r="G28" s="298">
        <v>-15493.01</v>
      </c>
      <c r="H28" s="298">
        <f t="shared" si="0"/>
        <v>22101.989999999998</v>
      </c>
      <c r="I28" s="289"/>
    </row>
    <row r="29" spans="1:9" ht="51.75" customHeight="1">
      <c r="A29" s="289" t="s">
        <v>6</v>
      </c>
      <c r="B29" s="289" t="s">
        <v>24</v>
      </c>
      <c r="C29" s="303" t="s">
        <v>514</v>
      </c>
      <c r="D29" s="300">
        <v>0</v>
      </c>
      <c r="E29" s="300">
        <v>36100</v>
      </c>
      <c r="F29" s="301">
        <v>36100</v>
      </c>
      <c r="G29" s="305">
        <v>12804.72</v>
      </c>
      <c r="H29" s="298">
        <f t="shared" si="0"/>
        <v>48904.72</v>
      </c>
      <c r="I29" s="289"/>
    </row>
    <row r="30" spans="1:9" ht="51.75" customHeight="1">
      <c r="A30" s="289" t="s">
        <v>6</v>
      </c>
      <c r="B30" s="289" t="s">
        <v>24</v>
      </c>
      <c r="C30" s="303" t="s">
        <v>515</v>
      </c>
      <c r="D30" s="300">
        <v>0</v>
      </c>
      <c r="E30" s="300">
        <v>2800</v>
      </c>
      <c r="F30" s="301">
        <v>2800</v>
      </c>
      <c r="G30" s="298">
        <v>7269.6</v>
      </c>
      <c r="H30" s="298">
        <f t="shared" si="0"/>
        <v>10069.6</v>
      </c>
      <c r="I30" s="289"/>
    </row>
    <row r="31" spans="1:9" ht="51.75" customHeight="1">
      <c r="A31" s="289" t="s">
        <v>6</v>
      </c>
      <c r="B31" s="289" t="s">
        <v>24</v>
      </c>
      <c r="C31" s="303" t="s">
        <v>516</v>
      </c>
      <c r="D31" s="300">
        <v>0</v>
      </c>
      <c r="E31" s="300">
        <v>7700</v>
      </c>
      <c r="F31" s="301">
        <v>7700</v>
      </c>
      <c r="G31" s="298">
        <v>1892.1</v>
      </c>
      <c r="H31" s="298">
        <f t="shared" si="0"/>
        <v>9592.1</v>
      </c>
      <c r="I31" s="289"/>
    </row>
    <row r="32" spans="1:9" ht="51.75" customHeight="1">
      <c r="A32" s="289" t="s">
        <v>6</v>
      </c>
      <c r="B32" s="289" t="s">
        <v>24</v>
      </c>
      <c r="C32" s="310" t="s">
        <v>517</v>
      </c>
      <c r="D32" s="300">
        <v>0</v>
      </c>
      <c r="E32" s="300">
        <v>150000</v>
      </c>
      <c r="F32" s="301">
        <v>150000</v>
      </c>
      <c r="G32" s="298">
        <v>-95100</v>
      </c>
      <c r="H32" s="298">
        <f t="shared" si="0"/>
        <v>54900</v>
      </c>
      <c r="I32" s="289"/>
    </row>
    <row r="33" spans="1:9" ht="51.75" customHeight="1">
      <c r="A33" s="289" t="s">
        <v>6</v>
      </c>
      <c r="B33" s="289" t="s">
        <v>24</v>
      </c>
      <c r="C33" s="303" t="s">
        <v>518</v>
      </c>
      <c r="D33" s="300">
        <v>0</v>
      </c>
      <c r="E33" s="300">
        <v>24000</v>
      </c>
      <c r="F33" s="301">
        <v>24000</v>
      </c>
      <c r="G33" s="298">
        <v>26848</v>
      </c>
      <c r="H33" s="298">
        <f t="shared" si="0"/>
        <v>50848</v>
      </c>
      <c r="I33" s="289"/>
    </row>
    <row r="34" spans="1:9" ht="51.75" customHeight="1">
      <c r="A34" s="289" t="s">
        <v>6</v>
      </c>
      <c r="B34" s="289" t="s">
        <v>24</v>
      </c>
      <c r="C34" s="303" t="s">
        <v>519</v>
      </c>
      <c r="D34" s="300">
        <v>0</v>
      </c>
      <c r="E34" s="300">
        <v>2400</v>
      </c>
      <c r="F34" s="301">
        <v>2400</v>
      </c>
      <c r="G34" s="298">
        <v>0</v>
      </c>
      <c r="H34" s="298">
        <f t="shared" si="0"/>
        <v>2400</v>
      </c>
      <c r="I34" s="289"/>
    </row>
    <row r="35" spans="1:9" ht="51.75" customHeight="1">
      <c r="A35" s="289" t="s">
        <v>6</v>
      </c>
      <c r="B35" s="289" t="s">
        <v>24</v>
      </c>
      <c r="C35" s="303" t="s">
        <v>520</v>
      </c>
      <c r="D35" s="300">
        <v>0</v>
      </c>
      <c r="E35" s="300">
        <v>18810</v>
      </c>
      <c r="F35" s="301">
        <v>18810</v>
      </c>
      <c r="G35" s="298">
        <v>0</v>
      </c>
      <c r="H35" s="298">
        <f t="shared" si="0"/>
        <v>18810</v>
      </c>
      <c r="I35" s="289"/>
    </row>
    <row r="36" spans="1:9" ht="51.75" customHeight="1">
      <c r="A36" s="289" t="s">
        <v>6</v>
      </c>
      <c r="B36" s="289" t="s">
        <v>24</v>
      </c>
      <c r="C36" s="311" t="s">
        <v>521</v>
      </c>
      <c r="D36" s="300">
        <v>0</v>
      </c>
      <c r="E36" s="300">
        <v>19500</v>
      </c>
      <c r="F36" s="301">
        <v>19500</v>
      </c>
      <c r="G36" s="298">
        <v>-19500</v>
      </c>
      <c r="H36" s="298">
        <f t="shared" si="0"/>
        <v>0</v>
      </c>
      <c r="I36" s="289"/>
    </row>
    <row r="37" spans="1:9" ht="51.75" customHeight="1">
      <c r="A37" s="289" t="s">
        <v>6</v>
      </c>
      <c r="B37" s="289" t="s">
        <v>24</v>
      </c>
      <c r="C37" s="303" t="s">
        <v>522</v>
      </c>
      <c r="D37" s="300">
        <v>0</v>
      </c>
      <c r="E37" s="300">
        <v>28500</v>
      </c>
      <c r="F37" s="301">
        <v>28500</v>
      </c>
      <c r="G37" s="298">
        <v>0</v>
      </c>
      <c r="H37" s="298">
        <f t="shared" si="0"/>
        <v>28500</v>
      </c>
      <c r="I37" s="289"/>
    </row>
    <row r="38" spans="1:9" ht="51.75" customHeight="1">
      <c r="A38" s="289" t="s">
        <v>6</v>
      </c>
      <c r="B38" s="289" t="s">
        <v>24</v>
      </c>
      <c r="C38" s="303" t="s">
        <v>523</v>
      </c>
      <c r="D38" s="300">
        <v>0</v>
      </c>
      <c r="E38" s="300">
        <v>19500</v>
      </c>
      <c r="F38" s="301">
        <v>19500</v>
      </c>
      <c r="G38" s="298">
        <v>8699.42</v>
      </c>
      <c r="H38" s="298">
        <f t="shared" si="0"/>
        <v>28199.42</v>
      </c>
      <c r="I38" s="289"/>
    </row>
    <row r="39" spans="1:9" ht="51.75" customHeight="1">
      <c r="A39" s="289" t="s">
        <v>6</v>
      </c>
      <c r="B39" s="289" t="s">
        <v>24</v>
      </c>
      <c r="C39" s="303" t="s">
        <v>524</v>
      </c>
      <c r="D39" s="300">
        <v>0</v>
      </c>
      <c r="E39" s="300">
        <v>48000</v>
      </c>
      <c r="F39" s="301">
        <v>48000</v>
      </c>
      <c r="G39" s="298">
        <v>225168</v>
      </c>
      <c r="H39" s="298">
        <f t="shared" si="0"/>
        <v>273168</v>
      </c>
      <c r="I39" s="289"/>
    </row>
    <row r="40" spans="1:9" ht="51.75" customHeight="1">
      <c r="A40" s="289" t="s">
        <v>6</v>
      </c>
      <c r="B40" s="289" t="s">
        <v>24</v>
      </c>
      <c r="C40" s="311" t="s">
        <v>525</v>
      </c>
      <c r="D40" s="300">
        <v>0</v>
      </c>
      <c r="E40" s="300">
        <v>132825</v>
      </c>
      <c r="F40" s="301">
        <v>132825</v>
      </c>
      <c r="G40" s="298">
        <v>-132825</v>
      </c>
      <c r="H40" s="298">
        <f t="shared" si="0"/>
        <v>0</v>
      </c>
      <c r="I40" s="289"/>
    </row>
    <row r="41" spans="1:9" ht="51.75" customHeight="1">
      <c r="A41" s="289" t="s">
        <v>6</v>
      </c>
      <c r="B41" s="289" t="s">
        <v>24</v>
      </c>
      <c r="C41" s="311" t="s">
        <v>526</v>
      </c>
      <c r="D41" s="300">
        <v>0</v>
      </c>
      <c r="E41" s="300">
        <v>164220</v>
      </c>
      <c r="F41" s="301">
        <v>164220</v>
      </c>
      <c r="G41" s="298">
        <v>-164220</v>
      </c>
      <c r="H41" s="298">
        <f t="shared" si="0"/>
        <v>0</v>
      </c>
      <c r="I41" s="289"/>
    </row>
    <row r="42" spans="1:9" ht="51.75" customHeight="1">
      <c r="A42" s="289" t="s">
        <v>6</v>
      </c>
      <c r="B42" s="289" t="s">
        <v>24</v>
      </c>
      <c r="C42" s="303" t="s">
        <v>527</v>
      </c>
      <c r="D42" s="300">
        <v>0</v>
      </c>
      <c r="E42" s="300">
        <v>2500</v>
      </c>
      <c r="F42" s="301">
        <v>2500</v>
      </c>
      <c r="G42" s="305">
        <v>-300.77</v>
      </c>
      <c r="H42" s="298">
        <f t="shared" si="0"/>
        <v>2199.23</v>
      </c>
      <c r="I42" s="289"/>
    </row>
    <row r="43" spans="1:9" ht="51.75" customHeight="1">
      <c r="A43" s="289" t="s">
        <v>6</v>
      </c>
      <c r="B43" s="289" t="s">
        <v>24</v>
      </c>
      <c r="C43" s="303" t="s">
        <v>528</v>
      </c>
      <c r="D43" s="300">
        <v>0</v>
      </c>
      <c r="E43" s="300">
        <v>13250</v>
      </c>
      <c r="F43" s="301">
        <v>13250</v>
      </c>
      <c r="G43" s="305">
        <v>52788</v>
      </c>
      <c r="H43" s="298">
        <f t="shared" si="0"/>
        <v>66038</v>
      </c>
      <c r="I43" s="289"/>
    </row>
    <row r="44" spans="1:9" ht="51.75" customHeight="1">
      <c r="A44" s="289" t="s">
        <v>6</v>
      </c>
      <c r="B44" s="289" t="s">
        <v>24</v>
      </c>
      <c r="C44" s="303" t="s">
        <v>529</v>
      </c>
      <c r="D44" s="300">
        <v>0</v>
      </c>
      <c r="E44" s="300">
        <v>225000</v>
      </c>
      <c r="F44" s="301">
        <v>225000</v>
      </c>
      <c r="G44" s="298">
        <v>-58500</v>
      </c>
      <c r="H44" s="298">
        <f t="shared" si="0"/>
        <v>166500</v>
      </c>
      <c r="I44" s="289"/>
    </row>
    <row r="45" spans="1:9" ht="51.75" customHeight="1">
      <c r="A45" s="289" t="s">
        <v>6</v>
      </c>
      <c r="B45" s="289" t="s">
        <v>24</v>
      </c>
      <c r="C45" s="315" t="s">
        <v>530</v>
      </c>
      <c r="D45" s="316">
        <v>0</v>
      </c>
      <c r="E45" s="316">
        <v>10400</v>
      </c>
      <c r="F45" s="317">
        <v>10400</v>
      </c>
      <c r="G45" s="298">
        <v>25912.55</v>
      </c>
      <c r="H45" s="298">
        <f t="shared" si="0"/>
        <v>36312.55</v>
      </c>
      <c r="I45" s="289"/>
    </row>
    <row r="46" spans="1:9" ht="51.75" customHeight="1">
      <c r="A46" s="289" t="s">
        <v>6</v>
      </c>
      <c r="B46" s="289" t="s">
        <v>24</v>
      </c>
      <c r="C46" s="303" t="s">
        <v>531</v>
      </c>
      <c r="D46" s="300">
        <v>0</v>
      </c>
      <c r="E46" s="300">
        <v>10640</v>
      </c>
      <c r="F46" s="301">
        <v>10640</v>
      </c>
      <c r="G46" s="298">
        <v>0</v>
      </c>
      <c r="H46" s="298">
        <f t="shared" si="0"/>
        <v>10640</v>
      </c>
      <c r="I46" s="289"/>
    </row>
    <row r="47" spans="1:9" ht="51.75" customHeight="1">
      <c r="A47" s="289" t="s">
        <v>6</v>
      </c>
      <c r="B47" s="289" t="s">
        <v>24</v>
      </c>
      <c r="C47" s="303" t="s">
        <v>537</v>
      </c>
      <c r="D47" s="300">
        <v>0</v>
      </c>
      <c r="E47" s="300">
        <v>3600</v>
      </c>
      <c r="F47" s="301">
        <v>3600</v>
      </c>
      <c r="G47" s="298">
        <v>0</v>
      </c>
      <c r="H47" s="298">
        <f t="shared" si="0"/>
        <v>3600</v>
      </c>
      <c r="I47" s="289"/>
    </row>
    <row r="48" spans="1:9" ht="51.75" customHeight="1">
      <c r="A48" s="289" t="s">
        <v>6</v>
      </c>
      <c r="B48" s="289" t="s">
        <v>24</v>
      </c>
      <c r="C48" s="303" t="s">
        <v>538</v>
      </c>
      <c r="D48" s="300">
        <v>0</v>
      </c>
      <c r="E48" s="300">
        <v>3900</v>
      </c>
      <c r="F48" s="301">
        <v>3900</v>
      </c>
      <c r="G48" s="298">
        <v>0</v>
      </c>
      <c r="H48" s="298">
        <f t="shared" si="0"/>
        <v>3900</v>
      </c>
      <c r="I48" s="289"/>
    </row>
    <row r="49" spans="1:9" ht="51.75" customHeight="1">
      <c r="A49" s="289" t="s">
        <v>6</v>
      </c>
      <c r="B49" s="289" t="s">
        <v>24</v>
      </c>
      <c r="C49" s="310" t="s">
        <v>539</v>
      </c>
      <c r="D49" s="300">
        <v>0</v>
      </c>
      <c r="E49" s="300">
        <v>60000</v>
      </c>
      <c r="F49" s="301">
        <v>60000</v>
      </c>
      <c r="G49" s="298">
        <v>-38040</v>
      </c>
      <c r="H49" s="298">
        <f t="shared" si="0"/>
        <v>21960</v>
      </c>
      <c r="I49" s="289"/>
    </row>
    <row r="50" spans="1:9" ht="51.75" customHeight="1">
      <c r="A50" s="289" t="s">
        <v>6</v>
      </c>
      <c r="B50" s="289" t="s">
        <v>24</v>
      </c>
      <c r="C50" s="303" t="s">
        <v>540</v>
      </c>
      <c r="D50" s="300">
        <v>0</v>
      </c>
      <c r="E50" s="300">
        <v>1500</v>
      </c>
      <c r="F50" s="301">
        <v>1500</v>
      </c>
      <c r="G50" s="298">
        <v>0</v>
      </c>
      <c r="H50" s="298">
        <f t="shared" si="0"/>
        <v>1500</v>
      </c>
      <c r="I50" s="289"/>
    </row>
    <row r="51" spans="1:9" ht="51.75" customHeight="1">
      <c r="A51" s="289" t="s">
        <v>6</v>
      </c>
      <c r="B51" s="289" t="s">
        <v>24</v>
      </c>
      <c r="C51" s="299" t="s">
        <v>551</v>
      </c>
      <c r="D51" s="300">
        <v>0</v>
      </c>
      <c r="E51" s="300">
        <v>13500</v>
      </c>
      <c r="F51" s="301">
        <v>13500</v>
      </c>
      <c r="G51" s="298">
        <v>75017.04</v>
      </c>
      <c r="H51" s="298">
        <f t="shared" si="0"/>
        <v>88517.04</v>
      </c>
      <c r="I51" s="289"/>
    </row>
    <row r="52" spans="1:9" ht="51.75" customHeight="1">
      <c r="A52" s="289" t="s">
        <v>6</v>
      </c>
      <c r="B52" s="289" t="s">
        <v>24</v>
      </c>
      <c r="C52" s="299" t="s">
        <v>552</v>
      </c>
      <c r="D52" s="300">
        <v>0</v>
      </c>
      <c r="E52" s="300">
        <v>26100</v>
      </c>
      <c r="F52" s="301">
        <v>26100</v>
      </c>
      <c r="G52" s="298">
        <v>0</v>
      </c>
      <c r="H52" s="298">
        <f t="shared" si="0"/>
        <v>26100</v>
      </c>
      <c r="I52" s="289"/>
    </row>
    <row r="53" spans="1:9" ht="51.75" customHeight="1">
      <c r="A53" s="289" t="s">
        <v>6</v>
      </c>
      <c r="B53" s="289" t="s">
        <v>24</v>
      </c>
      <c r="C53" s="299" t="s">
        <v>553</v>
      </c>
      <c r="D53" s="300">
        <v>0</v>
      </c>
      <c r="E53" s="300">
        <v>31641</v>
      </c>
      <c r="F53" s="301">
        <v>31641</v>
      </c>
      <c r="G53" s="298">
        <v>17775</v>
      </c>
      <c r="H53" s="298">
        <f t="shared" si="0"/>
        <v>49416</v>
      </c>
      <c r="I53" s="289"/>
    </row>
    <row r="54" spans="1:9" ht="51.75" customHeight="1">
      <c r="A54" s="289" t="s">
        <v>6</v>
      </c>
      <c r="B54" s="289" t="s">
        <v>24</v>
      </c>
      <c r="C54" s="310" t="s">
        <v>560</v>
      </c>
      <c r="D54" s="300">
        <v>0</v>
      </c>
      <c r="E54" s="300">
        <v>59200</v>
      </c>
      <c r="F54" s="301">
        <v>59200</v>
      </c>
      <c r="G54" s="298">
        <v>-59200</v>
      </c>
      <c r="H54" s="298">
        <f t="shared" si="0"/>
        <v>0</v>
      </c>
      <c r="I54" s="289"/>
    </row>
    <row r="55" spans="1:9" ht="51.75" customHeight="1">
      <c r="A55" s="289" t="s">
        <v>6</v>
      </c>
      <c r="B55" s="289" t="s">
        <v>24</v>
      </c>
      <c r="C55" s="299" t="s">
        <v>561</v>
      </c>
      <c r="D55" s="300">
        <v>0</v>
      </c>
      <c r="E55" s="300">
        <v>36300</v>
      </c>
      <c r="F55" s="301">
        <v>36300</v>
      </c>
      <c r="G55" s="298">
        <v>0</v>
      </c>
      <c r="H55" s="298">
        <f t="shared" si="0"/>
        <v>36300</v>
      </c>
      <c r="I55" s="289"/>
    </row>
    <row r="56" spans="1:9" ht="51.75" customHeight="1">
      <c r="A56" s="289" t="s">
        <v>6</v>
      </c>
      <c r="B56" s="289" t="s">
        <v>24</v>
      </c>
      <c r="C56" s="299" t="s">
        <v>562</v>
      </c>
      <c r="D56" s="300">
        <v>3907</v>
      </c>
      <c r="E56" s="300">
        <v>13121</v>
      </c>
      <c r="F56" s="301">
        <v>17028</v>
      </c>
      <c r="G56" s="298">
        <v>3559.93</v>
      </c>
      <c r="H56" s="298">
        <f t="shared" si="0"/>
        <v>20587.93</v>
      </c>
      <c r="I56" s="289"/>
    </row>
    <row r="57" spans="1:9" ht="51.75" customHeight="1">
      <c r="A57" s="289" t="s">
        <v>6</v>
      </c>
      <c r="B57" s="289" t="s">
        <v>24</v>
      </c>
      <c r="C57" s="303" t="s">
        <v>564</v>
      </c>
      <c r="D57" s="300">
        <v>0</v>
      </c>
      <c r="E57" s="300">
        <v>0</v>
      </c>
      <c r="F57" s="301">
        <v>0</v>
      </c>
      <c r="G57" s="298">
        <v>0</v>
      </c>
      <c r="H57" s="298">
        <f t="shared" si="0"/>
        <v>0</v>
      </c>
      <c r="I57" s="289"/>
    </row>
    <row r="58" spans="1:9" ht="51.75" customHeight="1">
      <c r="A58" s="289" t="s">
        <v>6</v>
      </c>
      <c r="B58" s="289" t="s">
        <v>24</v>
      </c>
      <c r="C58" s="303" t="s">
        <v>565</v>
      </c>
      <c r="D58" s="300">
        <v>0</v>
      </c>
      <c r="E58" s="300">
        <v>33602</v>
      </c>
      <c r="F58" s="301">
        <v>33602</v>
      </c>
      <c r="G58" s="298">
        <v>3505</v>
      </c>
      <c r="H58" s="298">
        <f t="shared" si="0"/>
        <v>37107</v>
      </c>
      <c r="I58" s="289"/>
    </row>
    <row r="59" spans="1:9" ht="51.75" customHeight="1">
      <c r="A59" s="289" t="s">
        <v>6</v>
      </c>
      <c r="B59" s="289" t="s">
        <v>24</v>
      </c>
      <c r="C59" s="299" t="s">
        <v>571</v>
      </c>
      <c r="D59" s="300">
        <v>0</v>
      </c>
      <c r="E59" s="300">
        <v>0</v>
      </c>
      <c r="F59" s="301">
        <v>0</v>
      </c>
      <c r="G59" s="298">
        <v>51357.07</v>
      </c>
      <c r="H59" s="298">
        <f t="shared" si="0"/>
        <v>51357.07</v>
      </c>
      <c r="I59" s="289"/>
    </row>
    <row r="60" spans="1:9" ht="51.75" customHeight="1">
      <c r="A60" s="289" t="s">
        <v>6</v>
      </c>
      <c r="B60" s="289" t="s">
        <v>24</v>
      </c>
      <c r="C60" s="299" t="s">
        <v>572</v>
      </c>
      <c r="D60" s="300">
        <v>0</v>
      </c>
      <c r="E60" s="300">
        <v>40000</v>
      </c>
      <c r="F60" s="301">
        <v>40000</v>
      </c>
      <c r="G60" s="298">
        <v>-40000</v>
      </c>
      <c r="H60" s="298">
        <f t="shared" si="0"/>
        <v>0</v>
      </c>
      <c r="I60" s="289"/>
    </row>
    <row r="61" spans="1:9" ht="51.75" customHeight="1">
      <c r="A61" s="289" t="s">
        <v>6</v>
      </c>
      <c r="B61" s="289" t="s">
        <v>24</v>
      </c>
      <c r="C61" s="309" t="s">
        <v>573</v>
      </c>
      <c r="D61" s="300">
        <v>0</v>
      </c>
      <c r="E61" s="300">
        <v>0</v>
      </c>
      <c r="F61" s="301">
        <v>0</v>
      </c>
      <c r="G61" s="298">
        <v>0</v>
      </c>
      <c r="H61" s="298">
        <f t="shared" si="0"/>
        <v>0</v>
      </c>
      <c r="I61" s="289"/>
    </row>
    <row r="62" spans="1:9" ht="51.75" customHeight="1">
      <c r="A62" s="289" t="s">
        <v>6</v>
      </c>
      <c r="B62" s="289" t="s">
        <v>24</v>
      </c>
      <c r="C62" s="311" t="s">
        <v>575</v>
      </c>
      <c r="D62" s="300"/>
      <c r="E62" s="300"/>
      <c r="F62" s="301"/>
      <c r="G62" s="298">
        <v>4215.53</v>
      </c>
      <c r="H62" s="298">
        <f t="shared" si="0"/>
        <v>4215.53</v>
      </c>
      <c r="I62" s="289"/>
    </row>
    <row r="63" spans="1:9" ht="51.75" customHeight="1">
      <c r="A63" s="289" t="s">
        <v>6</v>
      </c>
      <c r="B63" s="289" t="s">
        <v>24</v>
      </c>
      <c r="C63" s="311" t="s">
        <v>576</v>
      </c>
      <c r="D63" s="300"/>
      <c r="E63" s="300"/>
      <c r="F63" s="301"/>
      <c r="G63" s="298">
        <v>7332.36</v>
      </c>
      <c r="H63" s="298">
        <f t="shared" si="0"/>
        <v>7332.36</v>
      </c>
      <c r="I63" s="289"/>
    </row>
    <row r="64" spans="1:9" ht="51.75" customHeight="1">
      <c r="A64" s="289" t="s">
        <v>6</v>
      </c>
      <c r="B64" s="289" t="s">
        <v>24</v>
      </c>
      <c r="C64" s="311" t="s">
        <v>578</v>
      </c>
      <c r="D64" s="300"/>
      <c r="E64" s="300"/>
      <c r="F64" s="301"/>
      <c r="G64" s="298">
        <v>3233.59</v>
      </c>
      <c r="H64" s="298">
        <f t="shared" si="0"/>
        <v>3233.59</v>
      </c>
      <c r="I64" s="289"/>
    </row>
    <row r="65" spans="1:9" ht="51.75" customHeight="1">
      <c r="A65" s="289" t="s">
        <v>6</v>
      </c>
      <c r="B65" s="289" t="s">
        <v>24</v>
      </c>
      <c r="C65" s="318" t="s">
        <v>580</v>
      </c>
      <c r="D65" s="300"/>
      <c r="E65" s="300"/>
      <c r="F65" s="301"/>
      <c r="G65" s="298">
        <v>7160.14</v>
      </c>
      <c r="H65" s="298">
        <f t="shared" si="0"/>
        <v>7160.14</v>
      </c>
      <c r="I65" s="289"/>
    </row>
    <row r="66" spans="1:9" ht="51.75" customHeight="1">
      <c r="A66" s="289" t="s">
        <v>6</v>
      </c>
      <c r="B66" s="289" t="s">
        <v>24</v>
      </c>
      <c r="C66" s="304" t="s">
        <v>582</v>
      </c>
      <c r="D66" s="300"/>
      <c r="E66" s="300"/>
      <c r="F66" s="301"/>
      <c r="G66" s="298">
        <v>1078.56</v>
      </c>
      <c r="H66" s="298">
        <f t="shared" si="0"/>
        <v>1078.56</v>
      </c>
      <c r="I66" s="289"/>
    </row>
    <row r="67" spans="1:9" ht="51.75" customHeight="1">
      <c r="A67" s="289" t="s">
        <v>6</v>
      </c>
      <c r="B67" s="289" t="s">
        <v>24</v>
      </c>
      <c r="C67" s="304" t="s">
        <v>583</v>
      </c>
      <c r="D67" s="300"/>
      <c r="E67" s="300"/>
      <c r="F67" s="301"/>
      <c r="G67" s="298">
        <v>53625</v>
      </c>
      <c r="H67" s="298">
        <f t="shared" si="0"/>
        <v>53625</v>
      </c>
      <c r="I67" s="289"/>
    </row>
    <row r="68" spans="1:9" ht="51.75" customHeight="1">
      <c r="A68" s="289" t="s">
        <v>6</v>
      </c>
      <c r="B68" s="289" t="s">
        <v>24</v>
      </c>
      <c r="C68" s="304" t="s">
        <v>584</v>
      </c>
      <c r="D68" s="300"/>
      <c r="E68" s="300"/>
      <c r="F68" s="301"/>
      <c r="G68" s="298">
        <v>13890.22</v>
      </c>
      <c r="H68" s="298">
        <f aca="true" t="shared" si="1" ref="H68:H131">F68+G68</f>
        <v>13890.22</v>
      </c>
      <c r="I68" s="289"/>
    </row>
    <row r="69" spans="1:9" ht="51.75" customHeight="1">
      <c r="A69" s="289" t="s">
        <v>6</v>
      </c>
      <c r="B69" s="289" t="s">
        <v>24</v>
      </c>
      <c r="C69" s="304" t="s">
        <v>585</v>
      </c>
      <c r="D69" s="300"/>
      <c r="E69" s="300"/>
      <c r="F69" s="301"/>
      <c r="G69" s="298">
        <v>3367.44</v>
      </c>
      <c r="H69" s="298">
        <f t="shared" si="1"/>
        <v>3367.44</v>
      </c>
      <c r="I69" s="289"/>
    </row>
    <row r="70" spans="1:9" ht="51.75" customHeight="1">
      <c r="A70" s="289" t="s">
        <v>6</v>
      </c>
      <c r="B70" s="289" t="s">
        <v>24</v>
      </c>
      <c r="C70" s="304" t="s">
        <v>586</v>
      </c>
      <c r="D70" s="300"/>
      <c r="E70" s="300"/>
      <c r="F70" s="301"/>
      <c r="G70" s="298">
        <v>41250</v>
      </c>
      <c r="H70" s="298">
        <f t="shared" si="1"/>
        <v>41250</v>
      </c>
      <c r="I70" s="289"/>
    </row>
    <row r="71" spans="1:9" ht="51.75" customHeight="1">
      <c r="A71" s="289" t="s">
        <v>6</v>
      </c>
      <c r="B71" s="289" t="s">
        <v>24</v>
      </c>
      <c r="C71" s="304" t="s">
        <v>587</v>
      </c>
      <c r="D71" s="300"/>
      <c r="E71" s="300"/>
      <c r="F71" s="301"/>
      <c r="G71" s="305">
        <v>1320</v>
      </c>
      <c r="H71" s="298">
        <f t="shared" si="1"/>
        <v>1320</v>
      </c>
      <c r="I71" s="289"/>
    </row>
    <row r="72" spans="1:9" ht="51.75" customHeight="1">
      <c r="A72" s="289" t="s">
        <v>6</v>
      </c>
      <c r="B72" s="289" t="s">
        <v>24</v>
      </c>
      <c r="C72" s="304" t="s">
        <v>596</v>
      </c>
      <c r="D72" s="300"/>
      <c r="E72" s="300"/>
      <c r="F72" s="301"/>
      <c r="G72" s="298">
        <v>3503.1515</v>
      </c>
      <c r="H72" s="298">
        <f t="shared" si="1"/>
        <v>3503.1515</v>
      </c>
      <c r="I72" s="289"/>
    </row>
    <row r="73" spans="1:9" ht="51.75" customHeight="1">
      <c r="A73" s="289" t="s">
        <v>6</v>
      </c>
      <c r="B73" s="289" t="s">
        <v>24</v>
      </c>
      <c r="C73" s="304" t="s">
        <v>597</v>
      </c>
      <c r="D73" s="300"/>
      <c r="E73" s="300"/>
      <c r="F73" s="301"/>
      <c r="G73" s="298">
        <v>52162.5</v>
      </c>
      <c r="H73" s="298">
        <f t="shared" si="1"/>
        <v>52162.5</v>
      </c>
      <c r="I73" s="289"/>
    </row>
    <row r="74" spans="1:9" ht="51.75" customHeight="1">
      <c r="A74" s="289" t="s">
        <v>6</v>
      </c>
      <c r="B74" s="289" t="s">
        <v>24</v>
      </c>
      <c r="C74" s="304" t="s">
        <v>605</v>
      </c>
      <c r="D74" s="300"/>
      <c r="E74" s="300"/>
      <c r="F74" s="301"/>
      <c r="G74" s="298">
        <v>6286.443135</v>
      </c>
      <c r="H74" s="298">
        <f t="shared" si="1"/>
        <v>6286.443135</v>
      </c>
      <c r="I74" s="289"/>
    </row>
    <row r="75" spans="1:9" ht="51.75" customHeight="1">
      <c r="A75" s="289" t="s">
        <v>6</v>
      </c>
      <c r="B75" s="289" t="s">
        <v>24</v>
      </c>
      <c r="C75" s="304" t="s">
        <v>607</v>
      </c>
      <c r="D75" s="300"/>
      <c r="E75" s="300"/>
      <c r="F75" s="301"/>
      <c r="G75" s="298">
        <v>34426.6338</v>
      </c>
      <c r="H75" s="298">
        <f t="shared" si="1"/>
        <v>34426.6338</v>
      </c>
      <c r="I75" s="289"/>
    </row>
    <row r="76" spans="1:9" ht="51.75" customHeight="1">
      <c r="A76" s="289" t="s">
        <v>6</v>
      </c>
      <c r="B76" s="289" t="s">
        <v>24</v>
      </c>
      <c r="C76" s="304" t="s">
        <v>617</v>
      </c>
      <c r="D76" s="300"/>
      <c r="E76" s="300"/>
      <c r="F76" s="301"/>
      <c r="G76" s="298">
        <v>3617.44</v>
      </c>
      <c r="H76" s="298">
        <f t="shared" si="1"/>
        <v>3617.44</v>
      </c>
      <c r="I76" s="289"/>
    </row>
    <row r="77" spans="1:9" ht="51.75" customHeight="1">
      <c r="A77" s="289" t="s">
        <v>6</v>
      </c>
      <c r="B77" s="289" t="s">
        <v>24</v>
      </c>
      <c r="C77" s="304" t="s">
        <v>618</v>
      </c>
      <c r="D77" s="300"/>
      <c r="E77" s="300"/>
      <c r="F77" s="301"/>
      <c r="G77" s="298">
        <v>4164</v>
      </c>
      <c r="H77" s="298">
        <f t="shared" si="1"/>
        <v>4164</v>
      </c>
      <c r="I77" s="289"/>
    </row>
    <row r="78" spans="1:9" ht="51.75" customHeight="1">
      <c r="A78" s="289" t="s">
        <v>6</v>
      </c>
      <c r="B78" s="289" t="s">
        <v>24</v>
      </c>
      <c r="C78" s="304" t="s">
        <v>623</v>
      </c>
      <c r="D78" s="300"/>
      <c r="E78" s="300"/>
      <c r="F78" s="301"/>
      <c r="G78" s="298">
        <v>1820.7420000000002</v>
      </c>
      <c r="H78" s="298">
        <f t="shared" si="1"/>
        <v>1820.7420000000002</v>
      </c>
      <c r="I78" s="289"/>
    </row>
    <row r="79" spans="1:9" ht="51.75" customHeight="1">
      <c r="A79" s="289" t="s">
        <v>6</v>
      </c>
      <c r="B79" s="289" t="s">
        <v>24</v>
      </c>
      <c r="C79" s="304" t="s">
        <v>626</v>
      </c>
      <c r="D79" s="300"/>
      <c r="E79" s="300"/>
      <c r="F79" s="301"/>
      <c r="G79" s="298">
        <v>9550</v>
      </c>
      <c r="H79" s="298">
        <f t="shared" si="1"/>
        <v>9550</v>
      </c>
      <c r="I79" s="289"/>
    </row>
    <row r="80" spans="1:9" ht="51.75" customHeight="1">
      <c r="A80" s="289" t="s">
        <v>6</v>
      </c>
      <c r="B80" s="289" t="s">
        <v>24</v>
      </c>
      <c r="C80" s="304" t="s">
        <v>632</v>
      </c>
      <c r="D80" s="300"/>
      <c r="E80" s="300"/>
      <c r="F80" s="301"/>
      <c r="G80" s="298">
        <v>7600</v>
      </c>
      <c r="H80" s="298">
        <f t="shared" si="1"/>
        <v>7600</v>
      </c>
      <c r="I80" s="289"/>
    </row>
    <row r="81" spans="1:9" ht="51.75" customHeight="1">
      <c r="A81" s="289" t="s">
        <v>6</v>
      </c>
      <c r="B81" s="289" t="s">
        <v>24</v>
      </c>
      <c r="C81" s="304" t="s">
        <v>637</v>
      </c>
      <c r="D81" s="300"/>
      <c r="E81" s="300"/>
      <c r="F81" s="301"/>
      <c r="G81" s="298">
        <v>2400</v>
      </c>
      <c r="H81" s="298">
        <f t="shared" si="1"/>
        <v>2400</v>
      </c>
      <c r="I81" s="289"/>
    </row>
    <row r="82" spans="1:9" ht="51.75" customHeight="1">
      <c r="A82" s="289" t="s">
        <v>6</v>
      </c>
      <c r="B82" s="289" t="s">
        <v>24</v>
      </c>
      <c r="C82" s="304" t="s">
        <v>638</v>
      </c>
      <c r="D82" s="300"/>
      <c r="E82" s="300"/>
      <c r="F82" s="301"/>
      <c r="G82" s="298">
        <v>849.67</v>
      </c>
      <c r="H82" s="298">
        <f t="shared" si="1"/>
        <v>849.67</v>
      </c>
      <c r="I82" s="289"/>
    </row>
    <row r="83" spans="1:9" ht="51.75" customHeight="1">
      <c r="A83" s="289" t="s">
        <v>6</v>
      </c>
      <c r="B83" s="289" t="s">
        <v>24</v>
      </c>
      <c r="C83" s="304" t="s">
        <v>644</v>
      </c>
      <c r="D83" s="300"/>
      <c r="E83" s="300"/>
      <c r="F83" s="301"/>
      <c r="G83" s="298">
        <v>958</v>
      </c>
      <c r="H83" s="298">
        <f t="shared" si="1"/>
        <v>958</v>
      </c>
      <c r="I83" s="289"/>
    </row>
    <row r="84" spans="1:9" ht="51.75" customHeight="1">
      <c r="A84" s="289" t="s">
        <v>6</v>
      </c>
      <c r="B84" s="289" t="s">
        <v>24</v>
      </c>
      <c r="C84" s="304" t="s">
        <v>645</v>
      </c>
      <c r="D84" s="300"/>
      <c r="E84" s="300"/>
      <c r="F84" s="301"/>
      <c r="G84" s="298">
        <v>9287.7</v>
      </c>
      <c r="H84" s="298">
        <f t="shared" si="1"/>
        <v>9287.7</v>
      </c>
      <c r="I84" s="289"/>
    </row>
    <row r="85" spans="1:9" ht="51.75" customHeight="1">
      <c r="A85" s="289" t="s">
        <v>6</v>
      </c>
      <c r="B85" s="289" t="s">
        <v>24</v>
      </c>
      <c r="C85" s="304" t="s">
        <v>646</v>
      </c>
      <c r="D85" s="300"/>
      <c r="E85" s="300"/>
      <c r="F85" s="301"/>
      <c r="G85" s="298">
        <v>7399.852500000001</v>
      </c>
      <c r="H85" s="298">
        <f t="shared" si="1"/>
        <v>7399.852500000001</v>
      </c>
      <c r="I85" s="289"/>
    </row>
    <row r="86" spans="1:9" ht="51.75" customHeight="1">
      <c r="A86" s="289" t="s">
        <v>6</v>
      </c>
      <c r="B86" s="289" t="s">
        <v>24</v>
      </c>
      <c r="C86" s="304" t="s">
        <v>649</v>
      </c>
      <c r="D86" s="300"/>
      <c r="E86" s="300"/>
      <c r="F86" s="301"/>
      <c r="G86" s="298">
        <v>7679</v>
      </c>
      <c r="H86" s="298">
        <f t="shared" si="1"/>
        <v>7679</v>
      </c>
      <c r="I86" s="289"/>
    </row>
    <row r="87" spans="1:9" ht="51.75" customHeight="1">
      <c r="A87" s="289" t="s">
        <v>6</v>
      </c>
      <c r="B87" s="289" t="s">
        <v>24</v>
      </c>
      <c r="C87" s="304" t="s">
        <v>651</v>
      </c>
      <c r="D87" s="300"/>
      <c r="E87" s="300"/>
      <c r="F87" s="301"/>
      <c r="G87" s="298">
        <v>2370</v>
      </c>
      <c r="H87" s="298">
        <f t="shared" si="1"/>
        <v>2370</v>
      </c>
      <c r="I87" s="289"/>
    </row>
    <row r="88" spans="1:9" ht="51.75" customHeight="1">
      <c r="A88" s="289" t="s">
        <v>6</v>
      </c>
      <c r="B88" s="289" t="s">
        <v>24</v>
      </c>
      <c r="C88" s="304" t="s">
        <v>652</v>
      </c>
      <c r="D88" s="300"/>
      <c r="E88" s="300"/>
      <c r="F88" s="301"/>
      <c r="G88" s="298">
        <v>9380</v>
      </c>
      <c r="H88" s="298">
        <f t="shared" si="1"/>
        <v>9380</v>
      </c>
      <c r="I88" s="289"/>
    </row>
    <row r="89" spans="1:9" ht="51.75" customHeight="1">
      <c r="A89" s="289" t="s">
        <v>6</v>
      </c>
      <c r="B89" s="289" t="s">
        <v>24</v>
      </c>
      <c r="C89" s="304" t="s">
        <v>653</v>
      </c>
      <c r="D89" s="300"/>
      <c r="E89" s="300"/>
      <c r="F89" s="301"/>
      <c r="G89" s="298">
        <v>74379.75875</v>
      </c>
      <c r="H89" s="298">
        <f t="shared" si="1"/>
        <v>74379.75875</v>
      </c>
      <c r="I89" s="289"/>
    </row>
    <row r="90" spans="1:9" ht="51.75" customHeight="1">
      <c r="A90" s="289" t="s">
        <v>6</v>
      </c>
      <c r="B90" s="289" t="s">
        <v>24</v>
      </c>
      <c r="C90" s="304" t="s">
        <v>658</v>
      </c>
      <c r="D90" s="300"/>
      <c r="E90" s="300"/>
      <c r="F90" s="301"/>
      <c r="G90" s="298">
        <v>2785</v>
      </c>
      <c r="H90" s="298">
        <f t="shared" si="1"/>
        <v>2785</v>
      </c>
      <c r="I90" s="289"/>
    </row>
    <row r="91" spans="1:9" ht="51.75" customHeight="1">
      <c r="A91" s="289" t="s">
        <v>6</v>
      </c>
      <c r="B91" s="289" t="s">
        <v>24</v>
      </c>
      <c r="C91" s="304" t="s">
        <v>661</v>
      </c>
      <c r="D91" s="300"/>
      <c r="E91" s="300"/>
      <c r="F91" s="301"/>
      <c r="G91" s="298">
        <v>785</v>
      </c>
      <c r="H91" s="298">
        <f t="shared" si="1"/>
        <v>785</v>
      </c>
      <c r="I91" s="289"/>
    </row>
    <row r="92" spans="1:9" ht="51.75" customHeight="1">
      <c r="A92" s="289" t="s">
        <v>6</v>
      </c>
      <c r="B92" s="289" t="s">
        <v>24</v>
      </c>
      <c r="C92" s="304" t="s">
        <v>662</v>
      </c>
      <c r="D92" s="300"/>
      <c r="E92" s="300"/>
      <c r="F92" s="301"/>
      <c r="G92" s="298">
        <v>2480</v>
      </c>
      <c r="H92" s="298">
        <f t="shared" si="1"/>
        <v>2480</v>
      </c>
      <c r="I92" s="289"/>
    </row>
    <row r="93" spans="1:9" ht="51.75" customHeight="1">
      <c r="A93" s="289" t="s">
        <v>6</v>
      </c>
      <c r="B93" s="289" t="s">
        <v>24</v>
      </c>
      <c r="C93" s="311" t="s">
        <v>663</v>
      </c>
      <c r="D93" s="300"/>
      <c r="E93" s="300"/>
      <c r="F93" s="301"/>
      <c r="G93" s="298">
        <v>1248.14</v>
      </c>
      <c r="H93" s="298">
        <f t="shared" si="1"/>
        <v>1248.14</v>
      </c>
      <c r="I93" s="289"/>
    </row>
    <row r="94" spans="1:9" ht="51.75" customHeight="1">
      <c r="A94" s="289" t="s">
        <v>6</v>
      </c>
      <c r="B94" s="289" t="s">
        <v>24</v>
      </c>
      <c r="C94" s="311" t="s">
        <v>667</v>
      </c>
      <c r="D94" s="300"/>
      <c r="E94" s="300"/>
      <c r="F94" s="301"/>
      <c r="G94" s="298">
        <v>3025.07</v>
      </c>
      <c r="H94" s="298">
        <f t="shared" si="1"/>
        <v>3025.07</v>
      </c>
      <c r="I94" s="289"/>
    </row>
    <row r="95" spans="1:9" ht="51.75" customHeight="1">
      <c r="A95" s="289" t="s">
        <v>6</v>
      </c>
      <c r="B95" s="289" t="s">
        <v>24</v>
      </c>
      <c r="C95" s="311" t="s">
        <v>668</v>
      </c>
      <c r="D95" s="300"/>
      <c r="E95" s="300"/>
      <c r="F95" s="301"/>
      <c r="G95" s="298">
        <v>943.27</v>
      </c>
      <c r="H95" s="298">
        <f t="shared" si="1"/>
        <v>943.27</v>
      </c>
      <c r="I95" s="289"/>
    </row>
    <row r="96" spans="1:9" ht="51.75" customHeight="1">
      <c r="A96" s="289" t="s">
        <v>6</v>
      </c>
      <c r="B96" s="289" t="s">
        <v>24</v>
      </c>
      <c r="C96" s="311" t="s">
        <v>669</v>
      </c>
      <c r="D96" s="300"/>
      <c r="E96" s="300"/>
      <c r="F96" s="301"/>
      <c r="G96" s="298">
        <v>5669.22</v>
      </c>
      <c r="H96" s="298">
        <f t="shared" si="1"/>
        <v>5669.22</v>
      </c>
      <c r="I96" s="289"/>
    </row>
    <row r="97" spans="1:9" ht="51.75" customHeight="1">
      <c r="A97" s="289" t="s">
        <v>6</v>
      </c>
      <c r="B97" s="289" t="s">
        <v>24</v>
      </c>
      <c r="C97" s="311" t="s">
        <v>671</v>
      </c>
      <c r="D97" s="300"/>
      <c r="E97" s="300"/>
      <c r="F97" s="301"/>
      <c r="G97" s="298">
        <v>21515.86</v>
      </c>
      <c r="H97" s="298">
        <f t="shared" si="1"/>
        <v>21515.86</v>
      </c>
      <c r="I97" s="289"/>
    </row>
    <row r="98" spans="1:9" ht="51.75" customHeight="1">
      <c r="A98" s="289" t="s">
        <v>6</v>
      </c>
      <c r="B98" s="289" t="s">
        <v>24</v>
      </c>
      <c r="C98" s="311" t="s">
        <v>672</v>
      </c>
      <c r="D98" s="300"/>
      <c r="E98" s="300"/>
      <c r="F98" s="301"/>
      <c r="G98" s="298">
        <v>3161.04</v>
      </c>
      <c r="H98" s="298">
        <f t="shared" si="1"/>
        <v>3161.04</v>
      </c>
      <c r="I98" s="289"/>
    </row>
    <row r="99" spans="1:9" ht="51.75" customHeight="1">
      <c r="A99" s="289" t="s">
        <v>6</v>
      </c>
      <c r="B99" s="289" t="s">
        <v>24</v>
      </c>
      <c r="C99" s="311" t="s">
        <v>675</v>
      </c>
      <c r="D99" s="300"/>
      <c r="E99" s="300"/>
      <c r="F99" s="301"/>
      <c r="G99" s="298">
        <v>40614.46</v>
      </c>
      <c r="H99" s="298">
        <f t="shared" si="1"/>
        <v>40614.46</v>
      </c>
      <c r="I99" s="289"/>
    </row>
    <row r="100" spans="1:9" ht="51.75" customHeight="1">
      <c r="A100" s="289" t="s">
        <v>6</v>
      </c>
      <c r="B100" s="289" t="s">
        <v>24</v>
      </c>
      <c r="C100" s="311" t="s">
        <v>677</v>
      </c>
      <c r="D100" s="300"/>
      <c r="E100" s="300"/>
      <c r="F100" s="301"/>
      <c r="G100" s="298">
        <v>620.14</v>
      </c>
      <c r="H100" s="298">
        <f t="shared" si="1"/>
        <v>620.14</v>
      </c>
      <c r="I100" s="289"/>
    </row>
    <row r="101" spans="1:9" ht="51.75" customHeight="1">
      <c r="A101" s="289" t="s">
        <v>6</v>
      </c>
      <c r="B101" s="289" t="s">
        <v>24</v>
      </c>
      <c r="C101" s="311" t="s">
        <v>678</v>
      </c>
      <c r="D101" s="300"/>
      <c r="E101" s="300"/>
      <c r="F101" s="301"/>
      <c r="G101" s="298">
        <v>14581.79</v>
      </c>
      <c r="H101" s="298">
        <f t="shared" si="1"/>
        <v>14581.79</v>
      </c>
      <c r="I101" s="289"/>
    </row>
    <row r="102" spans="1:9" ht="51.75" customHeight="1">
      <c r="A102" s="289" t="s">
        <v>6</v>
      </c>
      <c r="B102" s="289" t="s">
        <v>24</v>
      </c>
      <c r="C102" s="312" t="s">
        <v>679</v>
      </c>
      <c r="D102" s="300"/>
      <c r="E102" s="300"/>
      <c r="F102" s="301"/>
      <c r="G102" s="298">
        <v>1845</v>
      </c>
      <c r="H102" s="298">
        <f t="shared" si="1"/>
        <v>1845</v>
      </c>
      <c r="I102" s="289"/>
    </row>
    <row r="103" spans="1:9" ht="51.75" customHeight="1">
      <c r="A103" s="289" t="s">
        <v>6</v>
      </c>
      <c r="B103" s="289" t="s">
        <v>24</v>
      </c>
      <c r="C103" s="312" t="s">
        <v>680</v>
      </c>
      <c r="D103" s="300"/>
      <c r="E103" s="300"/>
      <c r="F103" s="301"/>
      <c r="G103" s="298">
        <v>1968</v>
      </c>
      <c r="H103" s="298">
        <f t="shared" si="1"/>
        <v>1968</v>
      </c>
      <c r="I103" s="289"/>
    </row>
    <row r="104" spans="1:9" ht="51.75" customHeight="1">
      <c r="A104" s="289" t="s">
        <v>6</v>
      </c>
      <c r="B104" s="289" t="s">
        <v>24</v>
      </c>
      <c r="C104" s="312" t="s">
        <v>681</v>
      </c>
      <c r="D104" s="300"/>
      <c r="E104" s="300"/>
      <c r="F104" s="301"/>
      <c r="G104" s="298">
        <v>9497.85</v>
      </c>
      <c r="H104" s="298">
        <f t="shared" si="1"/>
        <v>9497.85</v>
      </c>
      <c r="I104" s="289"/>
    </row>
    <row r="105" spans="1:9" ht="51.75" customHeight="1">
      <c r="A105" s="289" t="s">
        <v>6</v>
      </c>
      <c r="B105" s="289" t="s">
        <v>24</v>
      </c>
      <c r="C105" s="312" t="s">
        <v>683</v>
      </c>
      <c r="D105" s="300"/>
      <c r="E105" s="300"/>
      <c r="F105" s="301"/>
      <c r="G105" s="298">
        <v>4762.88</v>
      </c>
      <c r="H105" s="298">
        <f t="shared" si="1"/>
        <v>4762.88</v>
      </c>
      <c r="I105" s="289"/>
    </row>
    <row r="106" spans="1:9" ht="51.75" customHeight="1">
      <c r="A106" s="289" t="s">
        <v>6</v>
      </c>
      <c r="B106" s="289" t="s">
        <v>24</v>
      </c>
      <c r="C106" s="312" t="s">
        <v>688</v>
      </c>
      <c r="D106" s="300"/>
      <c r="E106" s="300"/>
      <c r="F106" s="301"/>
      <c r="G106" s="298">
        <v>42859.184375000004</v>
      </c>
      <c r="H106" s="298">
        <f t="shared" si="1"/>
        <v>42859.184375000004</v>
      </c>
      <c r="I106" s="289"/>
    </row>
    <row r="107" spans="1:9" ht="51.75" customHeight="1">
      <c r="A107" s="289" t="s">
        <v>6</v>
      </c>
      <c r="B107" s="289" t="s">
        <v>24</v>
      </c>
      <c r="C107" s="311" t="s">
        <v>692</v>
      </c>
      <c r="D107" s="300"/>
      <c r="E107" s="300"/>
      <c r="F107" s="301"/>
      <c r="G107" s="298">
        <v>1906.023635</v>
      </c>
      <c r="H107" s="298">
        <f t="shared" si="1"/>
        <v>1906.023635</v>
      </c>
      <c r="I107" s="289"/>
    </row>
    <row r="108" spans="1:9" ht="51.75" customHeight="1">
      <c r="A108" s="289" t="s">
        <v>6</v>
      </c>
      <c r="B108" s="289" t="s">
        <v>24</v>
      </c>
      <c r="C108" s="311" t="s">
        <v>694</v>
      </c>
      <c r="D108" s="300"/>
      <c r="E108" s="300"/>
      <c r="F108" s="301"/>
      <c r="G108" s="298">
        <v>2220.07175</v>
      </c>
      <c r="H108" s="298">
        <f t="shared" si="1"/>
        <v>2220.07175</v>
      </c>
      <c r="I108" s="289"/>
    </row>
    <row r="109" spans="1:9" ht="51.75" customHeight="1">
      <c r="A109" s="289" t="s">
        <v>6</v>
      </c>
      <c r="B109" s="289" t="s">
        <v>24</v>
      </c>
      <c r="C109" s="311" t="s">
        <v>695</v>
      </c>
      <c r="D109" s="300"/>
      <c r="E109" s="300"/>
      <c r="F109" s="301"/>
      <c r="G109" s="298">
        <v>786.7217499999999</v>
      </c>
      <c r="H109" s="298">
        <f t="shared" si="1"/>
        <v>786.7217499999999</v>
      </c>
      <c r="I109" s="289"/>
    </row>
    <row r="110" spans="1:9" ht="51.75" customHeight="1">
      <c r="A110" s="289" t="s">
        <v>6</v>
      </c>
      <c r="B110" s="289" t="s">
        <v>24</v>
      </c>
      <c r="C110" s="311" t="s">
        <v>696</v>
      </c>
      <c r="D110" s="300"/>
      <c r="E110" s="300"/>
      <c r="F110" s="301"/>
      <c r="G110" s="298">
        <v>1576.07175</v>
      </c>
      <c r="H110" s="298">
        <f t="shared" si="1"/>
        <v>1576.07175</v>
      </c>
      <c r="I110" s="289"/>
    </row>
    <row r="111" spans="1:9" ht="51.75" customHeight="1">
      <c r="A111" s="289" t="s">
        <v>6</v>
      </c>
      <c r="B111" s="289" t="s">
        <v>24</v>
      </c>
      <c r="C111" s="311" t="s">
        <v>697</v>
      </c>
      <c r="D111" s="300"/>
      <c r="E111" s="300"/>
      <c r="F111" s="301"/>
      <c r="G111" s="298">
        <v>73633.59</v>
      </c>
      <c r="H111" s="298">
        <f t="shared" si="1"/>
        <v>73633.59</v>
      </c>
      <c r="I111" s="289"/>
    </row>
    <row r="112" spans="1:9" ht="51.75" customHeight="1">
      <c r="A112" s="289" t="s">
        <v>6</v>
      </c>
      <c r="B112" s="289" t="s">
        <v>24</v>
      </c>
      <c r="C112" s="311" t="s">
        <v>698</v>
      </c>
      <c r="D112" s="300"/>
      <c r="E112" s="300"/>
      <c r="F112" s="301"/>
      <c r="G112" s="298">
        <v>1699.72</v>
      </c>
      <c r="H112" s="298">
        <f t="shared" si="1"/>
        <v>1699.72</v>
      </c>
      <c r="I112" s="289"/>
    </row>
    <row r="113" spans="1:9" ht="51.75" customHeight="1">
      <c r="A113" s="289" t="s">
        <v>6</v>
      </c>
      <c r="B113" s="289" t="s">
        <v>24</v>
      </c>
      <c r="C113" s="311" t="s">
        <v>699</v>
      </c>
      <c r="D113" s="300"/>
      <c r="E113" s="300"/>
      <c r="F113" s="301"/>
      <c r="G113" s="298">
        <v>22390.26</v>
      </c>
      <c r="H113" s="298">
        <f t="shared" si="1"/>
        <v>22390.26</v>
      </c>
      <c r="I113" s="289"/>
    </row>
    <row r="114" spans="1:9" ht="51.75" customHeight="1">
      <c r="A114" s="289" t="s">
        <v>6</v>
      </c>
      <c r="B114" s="289" t="s">
        <v>24</v>
      </c>
      <c r="C114" s="311" t="s">
        <v>701</v>
      </c>
      <c r="D114" s="300"/>
      <c r="E114" s="300"/>
      <c r="F114" s="301"/>
      <c r="G114" s="298">
        <v>134293.48</v>
      </c>
      <c r="H114" s="298">
        <f t="shared" si="1"/>
        <v>134293.48</v>
      </c>
      <c r="I114" s="289"/>
    </row>
    <row r="115" spans="1:9" ht="51.75" customHeight="1">
      <c r="A115" s="289" t="s">
        <v>6</v>
      </c>
      <c r="B115" s="289" t="s">
        <v>24</v>
      </c>
      <c r="C115" s="311" t="s">
        <v>702</v>
      </c>
      <c r="D115" s="300"/>
      <c r="E115" s="300"/>
      <c r="F115" s="301"/>
      <c r="G115" s="298">
        <v>30762</v>
      </c>
      <c r="H115" s="298">
        <f t="shared" si="1"/>
        <v>30762</v>
      </c>
      <c r="I115" s="289"/>
    </row>
    <row r="116" spans="1:9" ht="51.75" customHeight="1">
      <c r="A116" s="289" t="s">
        <v>6</v>
      </c>
      <c r="B116" s="289" t="s">
        <v>24</v>
      </c>
      <c r="C116" s="311" t="s">
        <v>704</v>
      </c>
      <c r="D116" s="300"/>
      <c r="E116" s="300"/>
      <c r="F116" s="301"/>
      <c r="G116" s="298">
        <v>33508.5</v>
      </c>
      <c r="H116" s="298">
        <f t="shared" si="1"/>
        <v>33508.5</v>
      </c>
      <c r="I116" s="289"/>
    </row>
    <row r="117" spans="1:9" ht="51.75" customHeight="1">
      <c r="A117" s="289" t="s">
        <v>6</v>
      </c>
      <c r="B117" s="289" t="s">
        <v>24</v>
      </c>
      <c r="C117" s="311" t="s">
        <v>706</v>
      </c>
      <c r="D117" s="300"/>
      <c r="E117" s="300"/>
      <c r="F117" s="301"/>
      <c r="G117" s="298">
        <v>1847.4085</v>
      </c>
      <c r="H117" s="298">
        <f t="shared" si="1"/>
        <v>1847.4085</v>
      </c>
      <c r="I117" s="289"/>
    </row>
    <row r="118" spans="1:9" ht="51.75" customHeight="1">
      <c r="A118" s="289" t="s">
        <v>6</v>
      </c>
      <c r="B118" s="289" t="s">
        <v>24</v>
      </c>
      <c r="C118" s="311" t="s">
        <v>707</v>
      </c>
      <c r="D118" s="300"/>
      <c r="E118" s="300"/>
      <c r="F118" s="301"/>
      <c r="G118" s="298">
        <v>9492.5799</v>
      </c>
      <c r="H118" s="298">
        <f t="shared" si="1"/>
        <v>9492.5799</v>
      </c>
      <c r="I118" s="289"/>
    </row>
    <row r="119" spans="1:9" ht="51.75" customHeight="1">
      <c r="A119" s="289" t="s">
        <v>6</v>
      </c>
      <c r="B119" s="289" t="s">
        <v>24</v>
      </c>
      <c r="C119" s="311" t="s">
        <v>708</v>
      </c>
      <c r="D119" s="300"/>
      <c r="E119" s="300"/>
      <c r="F119" s="301"/>
      <c r="G119" s="298">
        <v>9237.397205000001</v>
      </c>
      <c r="H119" s="298">
        <f t="shared" si="1"/>
        <v>9237.397205000001</v>
      </c>
      <c r="I119" s="289"/>
    </row>
    <row r="120" spans="1:9" ht="51.75" customHeight="1">
      <c r="A120" s="289" t="s">
        <v>6</v>
      </c>
      <c r="B120" s="289" t="s">
        <v>24</v>
      </c>
      <c r="C120" s="311" t="s">
        <v>709</v>
      </c>
      <c r="D120" s="300"/>
      <c r="E120" s="300"/>
      <c r="F120" s="301"/>
      <c r="G120" s="298">
        <v>15701.6508</v>
      </c>
      <c r="H120" s="298">
        <f t="shared" si="1"/>
        <v>15701.6508</v>
      </c>
      <c r="I120" s="289"/>
    </row>
    <row r="121" spans="1:9" ht="51.75" customHeight="1">
      <c r="A121" s="289" t="s">
        <v>6</v>
      </c>
      <c r="B121" s="289" t="s">
        <v>24</v>
      </c>
      <c r="C121" s="299" t="s">
        <v>710</v>
      </c>
      <c r="D121" s="300">
        <v>0</v>
      </c>
      <c r="E121" s="300">
        <v>12000</v>
      </c>
      <c r="F121" s="301">
        <v>12000</v>
      </c>
      <c r="G121" s="298">
        <v>-12000</v>
      </c>
      <c r="H121" s="298">
        <f t="shared" si="1"/>
        <v>0</v>
      </c>
      <c r="I121" s="289"/>
    </row>
    <row r="122" spans="1:9" ht="51.75" customHeight="1">
      <c r="A122" s="289" t="s">
        <v>6</v>
      </c>
      <c r="B122" s="289" t="s">
        <v>54</v>
      </c>
      <c r="C122" s="303" t="s">
        <v>532</v>
      </c>
      <c r="D122" s="300">
        <v>0</v>
      </c>
      <c r="E122" s="300">
        <v>152000</v>
      </c>
      <c r="F122" s="301">
        <v>152000</v>
      </c>
      <c r="G122" s="305">
        <v>603089.6</v>
      </c>
      <c r="H122" s="298">
        <f t="shared" si="1"/>
        <v>755089.6</v>
      </c>
      <c r="I122" s="289"/>
    </row>
    <row r="123" spans="1:9" ht="51.75" customHeight="1">
      <c r="A123" s="289" t="s">
        <v>6</v>
      </c>
      <c r="B123" s="289" t="s">
        <v>54</v>
      </c>
      <c r="C123" s="303" t="s">
        <v>533</v>
      </c>
      <c r="D123" s="300">
        <v>0</v>
      </c>
      <c r="E123" s="300">
        <v>63000</v>
      </c>
      <c r="F123" s="301">
        <v>63000</v>
      </c>
      <c r="G123" s="305">
        <v>-39001.5</v>
      </c>
      <c r="H123" s="298">
        <f t="shared" si="1"/>
        <v>23998.5</v>
      </c>
      <c r="I123" s="289"/>
    </row>
    <row r="124" spans="1:9" ht="51.75" customHeight="1">
      <c r="A124" s="289" t="s">
        <v>6</v>
      </c>
      <c r="B124" s="289" t="s">
        <v>54</v>
      </c>
      <c r="C124" s="303" t="s">
        <v>534</v>
      </c>
      <c r="D124" s="300">
        <v>0</v>
      </c>
      <c r="E124" s="300">
        <v>19000</v>
      </c>
      <c r="F124" s="301">
        <v>19000</v>
      </c>
      <c r="G124" s="298">
        <v>-6650</v>
      </c>
      <c r="H124" s="298">
        <f t="shared" si="1"/>
        <v>12350</v>
      </c>
      <c r="I124" s="289"/>
    </row>
    <row r="125" spans="1:9" ht="51.75" customHeight="1">
      <c r="A125" s="289" t="s">
        <v>6</v>
      </c>
      <c r="B125" s="289" t="s">
        <v>54</v>
      </c>
      <c r="C125" s="303" t="s">
        <v>535</v>
      </c>
      <c r="D125" s="300">
        <v>0</v>
      </c>
      <c r="E125" s="300">
        <v>10800</v>
      </c>
      <c r="F125" s="301">
        <v>10800</v>
      </c>
      <c r="G125" s="305">
        <v>4600</v>
      </c>
      <c r="H125" s="298">
        <f t="shared" si="1"/>
        <v>15400</v>
      </c>
      <c r="I125" s="289"/>
    </row>
    <row r="126" spans="1:9" ht="51.75" customHeight="1">
      <c r="A126" s="289" t="s">
        <v>6</v>
      </c>
      <c r="B126" s="289" t="s">
        <v>54</v>
      </c>
      <c r="C126" s="303" t="s">
        <v>536</v>
      </c>
      <c r="D126" s="300">
        <v>0</v>
      </c>
      <c r="E126" s="300">
        <v>13900</v>
      </c>
      <c r="F126" s="301">
        <v>13900</v>
      </c>
      <c r="G126" s="298">
        <v>4104.94</v>
      </c>
      <c r="H126" s="298">
        <f t="shared" si="1"/>
        <v>18004.94</v>
      </c>
      <c r="I126" s="289"/>
    </row>
    <row r="127" spans="1:9" ht="51.75" customHeight="1">
      <c r="A127" s="289" t="s">
        <v>6</v>
      </c>
      <c r="B127" s="289" t="s">
        <v>54</v>
      </c>
      <c r="C127" s="299" t="s">
        <v>554</v>
      </c>
      <c r="D127" s="300">
        <v>0</v>
      </c>
      <c r="E127" s="300">
        <v>57000</v>
      </c>
      <c r="F127" s="301">
        <v>57000</v>
      </c>
      <c r="G127" s="298">
        <v>-57000</v>
      </c>
      <c r="H127" s="298">
        <f t="shared" si="1"/>
        <v>0</v>
      </c>
      <c r="I127" s="289"/>
    </row>
    <row r="128" spans="1:9" ht="51.75" customHeight="1">
      <c r="A128" s="289" t="s">
        <v>6</v>
      </c>
      <c r="B128" s="289" t="s">
        <v>54</v>
      </c>
      <c r="C128" s="299" t="s">
        <v>555</v>
      </c>
      <c r="D128" s="300">
        <v>0</v>
      </c>
      <c r="E128" s="300">
        <v>22500</v>
      </c>
      <c r="F128" s="301">
        <v>22500</v>
      </c>
      <c r="G128" s="298">
        <v>90561.55</v>
      </c>
      <c r="H128" s="298">
        <f t="shared" si="1"/>
        <v>113061.55</v>
      </c>
      <c r="I128" s="289"/>
    </row>
    <row r="129" spans="1:9" ht="51.75" customHeight="1">
      <c r="A129" s="289" t="s">
        <v>6</v>
      </c>
      <c r="B129" s="289" t="s">
        <v>54</v>
      </c>
      <c r="C129" s="299" t="s">
        <v>556</v>
      </c>
      <c r="D129" s="300">
        <v>0</v>
      </c>
      <c r="E129" s="300">
        <v>28500</v>
      </c>
      <c r="F129" s="301">
        <v>28500</v>
      </c>
      <c r="G129" s="298">
        <v>-28500</v>
      </c>
      <c r="H129" s="298">
        <f t="shared" si="1"/>
        <v>0</v>
      </c>
      <c r="I129" s="289"/>
    </row>
    <row r="130" spans="1:9" ht="51.75" customHeight="1">
      <c r="A130" s="289" t="s">
        <v>6</v>
      </c>
      <c r="B130" s="289" t="s">
        <v>54</v>
      </c>
      <c r="C130" s="299" t="s">
        <v>557</v>
      </c>
      <c r="D130" s="300">
        <v>0</v>
      </c>
      <c r="E130" s="300">
        <v>22500</v>
      </c>
      <c r="F130" s="301">
        <v>22500</v>
      </c>
      <c r="G130" s="298">
        <v>90561.55</v>
      </c>
      <c r="H130" s="298">
        <f t="shared" si="1"/>
        <v>113061.55</v>
      </c>
      <c r="I130" s="289"/>
    </row>
    <row r="131" spans="1:9" ht="51.75" customHeight="1">
      <c r="A131" s="289" t="s">
        <v>6</v>
      </c>
      <c r="B131" s="289" t="s">
        <v>54</v>
      </c>
      <c r="C131" s="299" t="s">
        <v>558</v>
      </c>
      <c r="D131" s="300">
        <v>0</v>
      </c>
      <c r="E131" s="300">
        <v>38000</v>
      </c>
      <c r="F131" s="301">
        <v>38000</v>
      </c>
      <c r="G131" s="305">
        <v>-38000</v>
      </c>
      <c r="H131" s="298">
        <f t="shared" si="1"/>
        <v>0</v>
      </c>
      <c r="I131" s="289"/>
    </row>
    <row r="132" spans="1:9" ht="51.75" customHeight="1">
      <c r="A132" s="289" t="s">
        <v>6</v>
      </c>
      <c r="B132" s="289" t="s">
        <v>54</v>
      </c>
      <c r="C132" s="299" t="s">
        <v>559</v>
      </c>
      <c r="D132" s="300">
        <v>0</v>
      </c>
      <c r="E132" s="300">
        <v>22500</v>
      </c>
      <c r="F132" s="301">
        <v>22500</v>
      </c>
      <c r="G132" s="298">
        <v>90561.55</v>
      </c>
      <c r="H132" s="298">
        <f aca="true" t="shared" si="2" ref="H132:H195">F132+G132</f>
        <v>113061.55</v>
      </c>
      <c r="I132" s="289"/>
    </row>
    <row r="133" spans="1:9" ht="51.75" customHeight="1">
      <c r="A133" s="289" t="s">
        <v>6</v>
      </c>
      <c r="B133" s="289" t="s">
        <v>54</v>
      </c>
      <c r="C133" s="299" t="s">
        <v>563</v>
      </c>
      <c r="D133" s="300">
        <v>0</v>
      </c>
      <c r="E133" s="300">
        <v>79000</v>
      </c>
      <c r="F133" s="301">
        <v>79000</v>
      </c>
      <c r="G133" s="298">
        <v>121126.83575</v>
      </c>
      <c r="H133" s="298">
        <f t="shared" si="2"/>
        <v>200126.83575</v>
      </c>
      <c r="I133" s="289"/>
    </row>
    <row r="134" spans="1:9" ht="51.75" customHeight="1">
      <c r="A134" s="289" t="s">
        <v>6</v>
      </c>
      <c r="B134" s="289" t="s">
        <v>54</v>
      </c>
      <c r="C134" s="318" t="s">
        <v>579</v>
      </c>
      <c r="D134" s="300"/>
      <c r="E134" s="300"/>
      <c r="F134" s="301"/>
      <c r="G134" s="298">
        <v>104595.12875</v>
      </c>
      <c r="H134" s="298">
        <f t="shared" si="2"/>
        <v>104595.12875</v>
      </c>
      <c r="I134" s="289"/>
    </row>
    <row r="135" spans="1:9" ht="51.75" customHeight="1">
      <c r="A135" s="289" t="s">
        <v>6</v>
      </c>
      <c r="B135" s="289" t="s">
        <v>54</v>
      </c>
      <c r="C135" s="318" t="s">
        <v>581</v>
      </c>
      <c r="D135" s="300"/>
      <c r="E135" s="300"/>
      <c r="F135" s="301"/>
      <c r="G135" s="298">
        <v>3980.22</v>
      </c>
      <c r="H135" s="298">
        <f t="shared" si="2"/>
        <v>3980.22</v>
      </c>
      <c r="I135" s="289"/>
    </row>
    <row r="136" spans="1:9" ht="51.75" customHeight="1">
      <c r="A136" s="289" t="s">
        <v>6</v>
      </c>
      <c r="B136" s="289" t="s">
        <v>54</v>
      </c>
      <c r="C136" s="304" t="s">
        <v>588</v>
      </c>
      <c r="D136" s="300"/>
      <c r="E136" s="300"/>
      <c r="F136" s="301"/>
      <c r="G136" s="305">
        <v>35166.96</v>
      </c>
      <c r="H136" s="298">
        <f t="shared" si="2"/>
        <v>35166.96</v>
      </c>
      <c r="I136" s="289"/>
    </row>
    <row r="137" spans="1:9" ht="51.75" customHeight="1">
      <c r="A137" s="289" t="s">
        <v>6</v>
      </c>
      <c r="B137" s="289" t="s">
        <v>54</v>
      </c>
      <c r="C137" s="304" t="s">
        <v>589</v>
      </c>
      <c r="D137" s="300"/>
      <c r="E137" s="300"/>
      <c r="F137" s="301"/>
      <c r="G137" s="305">
        <v>57968.09</v>
      </c>
      <c r="H137" s="298">
        <f t="shared" si="2"/>
        <v>57968.09</v>
      </c>
      <c r="I137" s="289"/>
    </row>
    <row r="138" spans="1:9" ht="51.75" customHeight="1">
      <c r="A138" s="289" t="s">
        <v>6</v>
      </c>
      <c r="B138" s="289" t="s">
        <v>54</v>
      </c>
      <c r="C138" s="304" t="s">
        <v>590</v>
      </c>
      <c r="D138" s="300"/>
      <c r="E138" s="300"/>
      <c r="F138" s="301"/>
      <c r="G138" s="305">
        <v>0</v>
      </c>
      <c r="H138" s="298">
        <f t="shared" si="2"/>
        <v>0</v>
      </c>
      <c r="I138" s="289"/>
    </row>
    <row r="139" spans="1:9" ht="51.75" customHeight="1">
      <c r="A139" s="289" t="s">
        <v>6</v>
      </c>
      <c r="B139" s="289" t="s">
        <v>54</v>
      </c>
      <c r="C139" s="304" t="s">
        <v>595</v>
      </c>
      <c r="D139" s="300"/>
      <c r="E139" s="300"/>
      <c r="F139" s="301"/>
      <c r="G139" s="298">
        <v>431587.2</v>
      </c>
      <c r="H139" s="298">
        <f t="shared" si="2"/>
        <v>431587.2</v>
      </c>
      <c r="I139" s="289"/>
    </row>
    <row r="140" spans="1:9" ht="51.75" customHeight="1">
      <c r="A140" s="289" t="s">
        <v>6</v>
      </c>
      <c r="B140" s="289" t="s">
        <v>54</v>
      </c>
      <c r="C140" s="304" t="s">
        <v>620</v>
      </c>
      <c r="D140" s="300"/>
      <c r="E140" s="300"/>
      <c r="F140" s="301"/>
      <c r="G140" s="298">
        <v>4743.506880000001</v>
      </c>
      <c r="H140" s="298">
        <f t="shared" si="2"/>
        <v>4743.506880000001</v>
      </c>
      <c r="I140" s="289"/>
    </row>
    <row r="141" spans="1:9" ht="51.75" customHeight="1">
      <c r="A141" s="289" t="s">
        <v>6</v>
      </c>
      <c r="B141" s="289" t="s">
        <v>54</v>
      </c>
      <c r="C141" s="304" t="s">
        <v>639</v>
      </c>
      <c r="D141" s="300"/>
      <c r="E141" s="300"/>
      <c r="F141" s="301"/>
      <c r="G141" s="298">
        <v>49997.997</v>
      </c>
      <c r="H141" s="298">
        <f t="shared" si="2"/>
        <v>49997.997</v>
      </c>
      <c r="I141" s="289"/>
    </row>
    <row r="142" spans="1:9" ht="51.75" customHeight="1">
      <c r="A142" s="289" t="s">
        <v>6</v>
      </c>
      <c r="B142" s="289" t="s">
        <v>54</v>
      </c>
      <c r="C142" s="304" t="s">
        <v>640</v>
      </c>
      <c r="D142" s="300"/>
      <c r="E142" s="300"/>
      <c r="F142" s="301"/>
      <c r="G142" s="298">
        <v>4052.78</v>
      </c>
      <c r="H142" s="298">
        <f t="shared" si="2"/>
        <v>4052.78</v>
      </c>
      <c r="I142" s="289"/>
    </row>
    <row r="143" spans="1:9" ht="51.75" customHeight="1">
      <c r="A143" s="289" t="s">
        <v>6</v>
      </c>
      <c r="B143" s="289" t="s">
        <v>54</v>
      </c>
      <c r="C143" s="311" t="s">
        <v>670</v>
      </c>
      <c r="D143" s="300"/>
      <c r="E143" s="300"/>
      <c r="F143" s="301"/>
      <c r="G143" s="298">
        <v>3496.11</v>
      </c>
      <c r="H143" s="298">
        <f t="shared" si="2"/>
        <v>3496.11</v>
      </c>
      <c r="I143" s="289"/>
    </row>
    <row r="144" spans="1:9" ht="51.75" customHeight="1">
      <c r="A144" s="289" t="s">
        <v>6</v>
      </c>
      <c r="B144" s="289" t="s">
        <v>54</v>
      </c>
      <c r="C144" s="313" t="s">
        <v>676</v>
      </c>
      <c r="D144" s="300"/>
      <c r="E144" s="300"/>
      <c r="F144" s="301"/>
      <c r="G144" s="298">
        <v>0</v>
      </c>
      <c r="H144" s="298">
        <f t="shared" si="2"/>
        <v>0</v>
      </c>
      <c r="I144" s="289"/>
    </row>
    <row r="145" spans="1:9" ht="51.75" customHeight="1">
      <c r="A145" s="289" t="s">
        <v>6</v>
      </c>
      <c r="B145" s="289" t="s">
        <v>54</v>
      </c>
      <c r="C145" s="312" t="s">
        <v>682</v>
      </c>
      <c r="D145" s="300"/>
      <c r="E145" s="300"/>
      <c r="F145" s="301"/>
      <c r="G145" s="298">
        <v>17562.93</v>
      </c>
      <c r="H145" s="298">
        <f t="shared" si="2"/>
        <v>17562.93</v>
      </c>
      <c r="I145" s="289"/>
    </row>
    <row r="146" spans="1:9" ht="51.75" customHeight="1">
      <c r="A146" s="289" t="s">
        <v>6</v>
      </c>
      <c r="B146" s="289" t="s">
        <v>54</v>
      </c>
      <c r="C146" s="312" t="s">
        <v>689</v>
      </c>
      <c r="D146" s="300"/>
      <c r="E146" s="300"/>
      <c r="F146" s="301"/>
      <c r="G146" s="298">
        <v>55170.390375</v>
      </c>
      <c r="H146" s="298">
        <f t="shared" si="2"/>
        <v>55170.390375</v>
      </c>
      <c r="I146" s="289"/>
    </row>
    <row r="147" spans="1:9" ht="51.75" customHeight="1">
      <c r="A147" s="289" t="s">
        <v>6</v>
      </c>
      <c r="B147" s="289" t="s">
        <v>54</v>
      </c>
      <c r="C147" s="311" t="s">
        <v>691</v>
      </c>
      <c r="D147" s="300"/>
      <c r="E147" s="300"/>
      <c r="F147" s="301"/>
      <c r="G147" s="298">
        <v>784.280575</v>
      </c>
      <c r="H147" s="298">
        <f t="shared" si="2"/>
        <v>784.280575</v>
      </c>
      <c r="I147" s="289"/>
    </row>
    <row r="148" spans="1:9" ht="51.75" customHeight="1">
      <c r="A148" s="289" t="s">
        <v>6</v>
      </c>
      <c r="B148" s="289" t="s">
        <v>54</v>
      </c>
      <c r="C148" s="311" t="s">
        <v>700</v>
      </c>
      <c r="D148" s="300"/>
      <c r="E148" s="300"/>
      <c r="F148" s="301"/>
      <c r="G148" s="298">
        <v>48819.4</v>
      </c>
      <c r="H148" s="298">
        <f t="shared" si="2"/>
        <v>48819.4</v>
      </c>
      <c r="I148" s="289"/>
    </row>
    <row r="149" spans="1:9" ht="51.75" customHeight="1">
      <c r="A149" s="289" t="s">
        <v>6</v>
      </c>
      <c r="B149" s="289" t="s">
        <v>54</v>
      </c>
      <c r="C149" s="311" t="s">
        <v>705</v>
      </c>
      <c r="D149" s="300"/>
      <c r="E149" s="300"/>
      <c r="F149" s="301"/>
      <c r="G149" s="298">
        <v>698.5174</v>
      </c>
      <c r="H149" s="298">
        <f t="shared" si="2"/>
        <v>698.5174</v>
      </c>
      <c r="I149" s="289"/>
    </row>
    <row r="150" spans="1:9" ht="51.75" customHeight="1">
      <c r="A150" s="289" t="s">
        <v>6</v>
      </c>
      <c r="B150" s="289" t="s">
        <v>598</v>
      </c>
      <c r="C150" s="329" t="s">
        <v>599</v>
      </c>
      <c r="D150" s="300"/>
      <c r="E150" s="300"/>
      <c r="F150" s="301"/>
      <c r="G150" s="298">
        <v>49028.4165</v>
      </c>
      <c r="H150" s="298">
        <f t="shared" si="2"/>
        <v>49028.4165</v>
      </c>
      <c r="I150" s="289"/>
    </row>
    <row r="151" spans="1:9" ht="51.75" customHeight="1">
      <c r="A151" s="289" t="s">
        <v>6</v>
      </c>
      <c r="B151" s="289" t="s">
        <v>598</v>
      </c>
      <c r="C151" s="304" t="s">
        <v>600</v>
      </c>
      <c r="D151" s="300"/>
      <c r="E151" s="300"/>
      <c r="F151" s="301"/>
      <c r="G151" s="298">
        <v>3246.915</v>
      </c>
      <c r="H151" s="298">
        <f t="shared" si="2"/>
        <v>3246.915</v>
      </c>
      <c r="I151" s="289"/>
    </row>
    <row r="152" spans="1:9" ht="51.75" customHeight="1">
      <c r="A152" s="289" t="s">
        <v>6</v>
      </c>
      <c r="B152" s="289" t="s">
        <v>598</v>
      </c>
      <c r="C152" s="304" t="s">
        <v>601</v>
      </c>
      <c r="D152" s="300"/>
      <c r="E152" s="300"/>
      <c r="F152" s="301"/>
      <c r="G152" s="298">
        <v>15888.415020000002</v>
      </c>
      <c r="H152" s="298">
        <f t="shared" si="2"/>
        <v>15888.415020000002</v>
      </c>
      <c r="I152" s="289"/>
    </row>
    <row r="153" spans="1:9" ht="51.75" customHeight="1">
      <c r="A153" s="289" t="s">
        <v>6</v>
      </c>
      <c r="B153" s="289" t="s">
        <v>598</v>
      </c>
      <c r="C153" s="304" t="s">
        <v>602</v>
      </c>
      <c r="D153" s="300"/>
      <c r="E153" s="300"/>
      <c r="F153" s="301"/>
      <c r="G153" s="298">
        <v>10239.307999999999</v>
      </c>
      <c r="H153" s="298">
        <f t="shared" si="2"/>
        <v>10239.307999999999</v>
      </c>
      <c r="I153" s="289"/>
    </row>
    <row r="154" spans="1:9" ht="51.75" customHeight="1">
      <c r="A154" s="289" t="s">
        <v>6</v>
      </c>
      <c r="B154" s="289" t="s">
        <v>598</v>
      </c>
      <c r="C154" s="304" t="s">
        <v>603</v>
      </c>
      <c r="D154" s="300"/>
      <c r="E154" s="300"/>
      <c r="F154" s="301"/>
      <c r="G154" s="298">
        <v>53459.5005</v>
      </c>
      <c r="H154" s="298">
        <f t="shared" si="2"/>
        <v>53459.5005</v>
      </c>
      <c r="I154" s="289"/>
    </row>
    <row r="155" spans="1:9" ht="51.75" customHeight="1">
      <c r="A155" s="289" t="s">
        <v>6</v>
      </c>
      <c r="B155" s="289" t="s">
        <v>598</v>
      </c>
      <c r="C155" s="304" t="s">
        <v>604</v>
      </c>
      <c r="D155" s="300"/>
      <c r="E155" s="300"/>
      <c r="F155" s="301"/>
      <c r="G155" s="298">
        <v>9909.27</v>
      </c>
      <c r="H155" s="298">
        <f t="shared" si="2"/>
        <v>9909.27</v>
      </c>
      <c r="I155" s="289"/>
    </row>
    <row r="156" spans="1:9" ht="51.75" customHeight="1">
      <c r="A156" s="289" t="s">
        <v>6</v>
      </c>
      <c r="B156" s="289" t="s">
        <v>598</v>
      </c>
      <c r="C156" s="304" t="s">
        <v>613</v>
      </c>
      <c r="D156" s="300"/>
      <c r="E156" s="300"/>
      <c r="F156" s="301"/>
      <c r="G156" s="298">
        <v>119744.97600000001</v>
      </c>
      <c r="H156" s="298">
        <f t="shared" si="2"/>
        <v>119744.97600000001</v>
      </c>
      <c r="I156" s="289"/>
    </row>
    <row r="157" spans="1:9" ht="51.75" customHeight="1">
      <c r="A157" s="289" t="s">
        <v>6</v>
      </c>
      <c r="B157" s="289" t="s">
        <v>598</v>
      </c>
      <c r="C157" s="304" t="s">
        <v>614</v>
      </c>
      <c r="D157" s="300"/>
      <c r="E157" s="300"/>
      <c r="F157" s="301"/>
      <c r="G157" s="298">
        <v>84863.24</v>
      </c>
      <c r="H157" s="298">
        <f t="shared" si="2"/>
        <v>84863.24</v>
      </c>
      <c r="I157" s="289"/>
    </row>
    <row r="158" spans="1:9" ht="51.75" customHeight="1">
      <c r="A158" s="289" t="s">
        <v>6</v>
      </c>
      <c r="B158" s="289" t="s">
        <v>598</v>
      </c>
      <c r="C158" s="304" t="s">
        <v>615</v>
      </c>
      <c r="D158" s="300"/>
      <c r="E158" s="300"/>
      <c r="F158" s="301"/>
      <c r="G158" s="298">
        <v>25919.91725</v>
      </c>
      <c r="H158" s="298">
        <f t="shared" si="2"/>
        <v>25919.91725</v>
      </c>
      <c r="I158" s="289"/>
    </row>
    <row r="159" spans="1:9" ht="51.75" customHeight="1">
      <c r="A159" s="289" t="s">
        <v>6</v>
      </c>
      <c r="B159" s="289" t="s">
        <v>598</v>
      </c>
      <c r="C159" s="304" t="s">
        <v>622</v>
      </c>
      <c r="D159" s="300"/>
      <c r="E159" s="300"/>
      <c r="F159" s="301"/>
      <c r="G159" s="298">
        <v>17743.6230004295</v>
      </c>
      <c r="H159" s="298">
        <f t="shared" si="2"/>
        <v>17743.6230004295</v>
      </c>
      <c r="I159" s="289"/>
    </row>
    <row r="160" spans="1:9" ht="51.75" customHeight="1">
      <c r="A160" s="289" t="s">
        <v>6</v>
      </c>
      <c r="B160" s="289" t="s">
        <v>598</v>
      </c>
      <c r="C160" s="304" t="s">
        <v>624</v>
      </c>
      <c r="D160" s="300"/>
      <c r="E160" s="300"/>
      <c r="F160" s="301"/>
      <c r="G160" s="298">
        <v>7645.4175000000005</v>
      </c>
      <c r="H160" s="298">
        <f t="shared" si="2"/>
        <v>7645.4175000000005</v>
      </c>
      <c r="I160" s="289"/>
    </row>
    <row r="161" spans="1:9" ht="51.75" customHeight="1">
      <c r="A161" s="289" t="s">
        <v>6</v>
      </c>
      <c r="B161" s="289" t="s">
        <v>598</v>
      </c>
      <c r="C161" s="304" t="s">
        <v>625</v>
      </c>
      <c r="D161" s="300"/>
      <c r="E161" s="300"/>
      <c r="F161" s="301"/>
      <c r="G161" s="298">
        <v>6280.365000000001</v>
      </c>
      <c r="H161" s="298">
        <f t="shared" si="2"/>
        <v>6280.365000000001</v>
      </c>
      <c r="I161" s="289"/>
    </row>
    <row r="162" spans="1:9" ht="51.75" customHeight="1">
      <c r="A162" s="289" t="s">
        <v>6</v>
      </c>
      <c r="B162" s="289" t="s">
        <v>598</v>
      </c>
      <c r="C162" s="304" t="s">
        <v>627</v>
      </c>
      <c r="D162" s="300"/>
      <c r="E162" s="300"/>
      <c r="F162" s="301"/>
      <c r="G162" s="298">
        <v>9795.68415</v>
      </c>
      <c r="H162" s="298">
        <f t="shared" si="2"/>
        <v>9795.68415</v>
      </c>
      <c r="I162" s="289"/>
    </row>
    <row r="163" spans="1:9" ht="51.75" customHeight="1">
      <c r="A163" s="289" t="s">
        <v>6</v>
      </c>
      <c r="B163" s="289" t="s">
        <v>598</v>
      </c>
      <c r="C163" s="304" t="s">
        <v>631</v>
      </c>
      <c r="D163" s="300"/>
      <c r="E163" s="300"/>
      <c r="F163" s="301"/>
      <c r="G163" s="298">
        <v>16520.572654999985</v>
      </c>
      <c r="H163" s="298">
        <f t="shared" si="2"/>
        <v>16520.572654999985</v>
      </c>
      <c r="I163" s="289"/>
    </row>
    <row r="164" spans="1:9" ht="51.75" customHeight="1">
      <c r="A164" s="289" t="s">
        <v>6</v>
      </c>
      <c r="B164" s="289" t="s">
        <v>598</v>
      </c>
      <c r="C164" s="304" t="s">
        <v>633</v>
      </c>
      <c r="D164" s="300"/>
      <c r="E164" s="300"/>
      <c r="F164" s="301"/>
      <c r="G164" s="298">
        <v>2380.25</v>
      </c>
      <c r="H164" s="298">
        <f t="shared" si="2"/>
        <v>2380.25</v>
      </c>
      <c r="I164" s="289"/>
    </row>
    <row r="165" spans="1:9" ht="51.75" customHeight="1">
      <c r="A165" s="289" t="s">
        <v>6</v>
      </c>
      <c r="B165" s="289" t="s">
        <v>598</v>
      </c>
      <c r="C165" s="304" t="s">
        <v>634</v>
      </c>
      <c r="D165" s="300"/>
      <c r="E165" s="300"/>
      <c r="F165" s="301"/>
      <c r="G165" s="298">
        <v>820.26</v>
      </c>
      <c r="H165" s="298">
        <f t="shared" si="2"/>
        <v>820.26</v>
      </c>
      <c r="I165" s="289"/>
    </row>
    <row r="166" spans="1:9" ht="51.75" customHeight="1">
      <c r="A166" s="289" t="s">
        <v>6</v>
      </c>
      <c r="B166" s="289" t="s">
        <v>598</v>
      </c>
      <c r="C166" s="304" t="s">
        <v>636</v>
      </c>
      <c r="D166" s="300"/>
      <c r="E166" s="300"/>
      <c r="F166" s="301"/>
      <c r="G166" s="298">
        <v>2595.285</v>
      </c>
      <c r="H166" s="298">
        <f t="shared" si="2"/>
        <v>2595.285</v>
      </c>
      <c r="I166" s="289"/>
    </row>
    <row r="167" spans="1:9" ht="51.75" customHeight="1">
      <c r="A167" s="289" t="s">
        <v>6</v>
      </c>
      <c r="B167" s="289" t="s">
        <v>598</v>
      </c>
      <c r="C167" s="304" t="s">
        <v>643</v>
      </c>
      <c r="D167" s="300"/>
      <c r="E167" s="300"/>
      <c r="F167" s="301"/>
      <c r="G167" s="298">
        <v>32958.204</v>
      </c>
      <c r="H167" s="298">
        <f t="shared" si="2"/>
        <v>32958.204</v>
      </c>
      <c r="I167" s="289"/>
    </row>
    <row r="168" spans="1:9" ht="51.75" customHeight="1">
      <c r="A168" s="289" t="s">
        <v>6</v>
      </c>
      <c r="B168" s="289" t="s">
        <v>598</v>
      </c>
      <c r="C168" s="304" t="s">
        <v>648</v>
      </c>
      <c r="D168" s="300"/>
      <c r="E168" s="300"/>
      <c r="F168" s="301"/>
      <c r="G168" s="298">
        <v>19209.8785</v>
      </c>
      <c r="H168" s="298">
        <f t="shared" si="2"/>
        <v>19209.8785</v>
      </c>
      <c r="I168" s="289"/>
    </row>
    <row r="169" spans="1:9" ht="51.75" customHeight="1">
      <c r="A169" s="289" t="s">
        <v>6</v>
      </c>
      <c r="B169" s="289" t="s">
        <v>598</v>
      </c>
      <c r="C169" s="304" t="s">
        <v>650</v>
      </c>
      <c r="D169" s="300"/>
      <c r="E169" s="300"/>
      <c r="F169" s="301"/>
      <c r="G169" s="298">
        <v>6552.252</v>
      </c>
      <c r="H169" s="298">
        <f t="shared" si="2"/>
        <v>6552.252</v>
      </c>
      <c r="I169" s="289"/>
    </row>
    <row r="170" spans="1:9" ht="51.75" customHeight="1">
      <c r="A170" s="289" t="s">
        <v>6</v>
      </c>
      <c r="B170" s="289" t="s">
        <v>598</v>
      </c>
      <c r="C170" s="304" t="s">
        <v>659</v>
      </c>
      <c r="D170" s="300"/>
      <c r="E170" s="300"/>
      <c r="F170" s="301"/>
      <c r="G170" s="298">
        <v>28544.983534684</v>
      </c>
      <c r="H170" s="298">
        <f t="shared" si="2"/>
        <v>28544.983534684</v>
      </c>
      <c r="I170" s="289"/>
    </row>
    <row r="171" spans="1:9" ht="51.75" customHeight="1">
      <c r="A171" s="289" t="s">
        <v>6</v>
      </c>
      <c r="B171" s="289" t="s">
        <v>598</v>
      </c>
      <c r="C171" s="304" t="s">
        <v>660</v>
      </c>
      <c r="D171" s="300"/>
      <c r="E171" s="300"/>
      <c r="F171" s="301"/>
      <c r="G171" s="298">
        <v>21537.2725</v>
      </c>
      <c r="H171" s="298">
        <f t="shared" si="2"/>
        <v>21537.2725</v>
      </c>
      <c r="I171" s="289"/>
    </row>
    <row r="172" spans="1:9" ht="51.75" customHeight="1">
      <c r="A172" s="289" t="s">
        <v>6</v>
      </c>
      <c r="B172" s="289" t="s">
        <v>598</v>
      </c>
      <c r="C172" s="311" t="s">
        <v>664</v>
      </c>
      <c r="D172" s="300"/>
      <c r="E172" s="300"/>
      <c r="F172" s="301"/>
      <c r="G172" s="298">
        <v>6723.97</v>
      </c>
      <c r="H172" s="298">
        <f t="shared" si="2"/>
        <v>6723.97</v>
      </c>
      <c r="I172" s="289"/>
    </row>
    <row r="173" spans="1:9" ht="51.75" customHeight="1">
      <c r="A173" s="289" t="s">
        <v>6</v>
      </c>
      <c r="B173" s="289" t="s">
        <v>598</v>
      </c>
      <c r="C173" s="311" t="s">
        <v>665</v>
      </c>
      <c r="D173" s="300"/>
      <c r="E173" s="300"/>
      <c r="F173" s="301"/>
      <c r="G173" s="298">
        <v>1014.28</v>
      </c>
      <c r="H173" s="298">
        <f t="shared" si="2"/>
        <v>1014.28</v>
      </c>
      <c r="I173" s="289"/>
    </row>
    <row r="174" spans="1:9" ht="51.75" customHeight="1">
      <c r="A174" s="289" t="s">
        <v>6</v>
      </c>
      <c r="B174" s="289" t="s">
        <v>598</v>
      </c>
      <c r="C174" s="311" t="s">
        <v>673</v>
      </c>
      <c r="D174" s="300"/>
      <c r="E174" s="300"/>
      <c r="F174" s="301"/>
      <c r="G174" s="298">
        <v>8760.86</v>
      </c>
      <c r="H174" s="298">
        <f t="shared" si="2"/>
        <v>8760.86</v>
      </c>
      <c r="I174" s="289"/>
    </row>
    <row r="175" spans="1:9" ht="51.75" customHeight="1">
      <c r="A175" s="289" t="s">
        <v>6</v>
      </c>
      <c r="B175" s="289" t="s">
        <v>598</v>
      </c>
      <c r="C175" s="312" t="s">
        <v>687</v>
      </c>
      <c r="D175" s="300"/>
      <c r="E175" s="300"/>
      <c r="F175" s="301"/>
      <c r="G175" s="298">
        <v>10834.32048</v>
      </c>
      <c r="H175" s="298">
        <f t="shared" si="2"/>
        <v>10834.32048</v>
      </c>
      <c r="I175" s="289"/>
    </row>
    <row r="176" spans="1:9" ht="51.75" customHeight="1">
      <c r="A176" s="289" t="s">
        <v>6</v>
      </c>
      <c r="B176" s="289" t="s">
        <v>541</v>
      </c>
      <c r="C176" s="303" t="s">
        <v>542</v>
      </c>
      <c r="D176" s="300">
        <v>0</v>
      </c>
      <c r="E176" s="300">
        <v>25705</v>
      </c>
      <c r="F176" s="301">
        <v>25705</v>
      </c>
      <c r="G176" s="298">
        <v>44386</v>
      </c>
      <c r="H176" s="298">
        <f t="shared" si="2"/>
        <v>70091</v>
      </c>
      <c r="I176" s="289"/>
    </row>
    <row r="177" spans="1:9" ht="51.75" customHeight="1">
      <c r="A177" s="289" t="s">
        <v>6</v>
      </c>
      <c r="B177" s="289" t="s">
        <v>541</v>
      </c>
      <c r="C177" s="303" t="s">
        <v>543</v>
      </c>
      <c r="D177" s="300">
        <v>0</v>
      </c>
      <c r="E177" s="300">
        <v>87600</v>
      </c>
      <c r="F177" s="301">
        <v>87600</v>
      </c>
      <c r="G177" s="298">
        <v>150168.22</v>
      </c>
      <c r="H177" s="298">
        <f t="shared" si="2"/>
        <v>237768.22</v>
      </c>
      <c r="I177" s="289"/>
    </row>
    <row r="178" spans="1:9" ht="51.75" customHeight="1">
      <c r="A178" s="289" t="s">
        <v>6</v>
      </c>
      <c r="B178" s="289" t="s">
        <v>541</v>
      </c>
      <c r="C178" s="303" t="s">
        <v>544</v>
      </c>
      <c r="D178" s="300">
        <v>0</v>
      </c>
      <c r="E178" s="300">
        <v>87600</v>
      </c>
      <c r="F178" s="301">
        <v>87600</v>
      </c>
      <c r="G178" s="298">
        <v>148589.72</v>
      </c>
      <c r="H178" s="298">
        <f t="shared" si="2"/>
        <v>236189.72</v>
      </c>
      <c r="I178" s="289"/>
    </row>
    <row r="179" spans="1:9" ht="51.75" customHeight="1">
      <c r="A179" s="289" t="s">
        <v>6</v>
      </c>
      <c r="B179" s="289" t="s">
        <v>541</v>
      </c>
      <c r="C179" s="303" t="s">
        <v>545</v>
      </c>
      <c r="D179" s="300">
        <v>0</v>
      </c>
      <c r="E179" s="300">
        <v>40400</v>
      </c>
      <c r="F179" s="301">
        <v>40400</v>
      </c>
      <c r="G179" s="298">
        <v>88455.51</v>
      </c>
      <c r="H179" s="298">
        <f t="shared" si="2"/>
        <v>128855.51</v>
      </c>
      <c r="I179" s="289"/>
    </row>
    <row r="180" spans="1:9" ht="51.75" customHeight="1">
      <c r="A180" s="289" t="s">
        <v>6</v>
      </c>
      <c r="B180" s="289" t="s">
        <v>541</v>
      </c>
      <c r="C180" s="303" t="s">
        <v>546</v>
      </c>
      <c r="D180" s="300">
        <v>0</v>
      </c>
      <c r="E180" s="300">
        <v>113600</v>
      </c>
      <c r="F180" s="301">
        <v>113600</v>
      </c>
      <c r="G180" s="298">
        <v>7225.8</v>
      </c>
      <c r="H180" s="298">
        <f t="shared" si="2"/>
        <v>120825.8</v>
      </c>
      <c r="I180" s="289"/>
    </row>
    <row r="181" spans="1:9" ht="51.75" customHeight="1">
      <c r="A181" s="289" t="s">
        <v>6</v>
      </c>
      <c r="B181" s="289" t="s">
        <v>541</v>
      </c>
      <c r="C181" s="303" t="s">
        <v>547</v>
      </c>
      <c r="D181" s="300">
        <v>0</v>
      </c>
      <c r="E181" s="300">
        <v>34100</v>
      </c>
      <c r="F181" s="301">
        <v>34100</v>
      </c>
      <c r="G181" s="298">
        <v>32968</v>
      </c>
      <c r="H181" s="298">
        <f t="shared" si="2"/>
        <v>67068</v>
      </c>
      <c r="I181" s="289"/>
    </row>
    <row r="182" spans="1:9" ht="51.75" customHeight="1">
      <c r="A182" s="289" t="s">
        <v>6</v>
      </c>
      <c r="B182" s="289" t="s">
        <v>541</v>
      </c>
      <c r="C182" s="303" t="s">
        <v>548</v>
      </c>
      <c r="D182" s="300">
        <v>0</v>
      </c>
      <c r="E182" s="300">
        <v>11804</v>
      </c>
      <c r="F182" s="301">
        <v>11804</v>
      </c>
      <c r="G182" s="298">
        <v>0</v>
      </c>
      <c r="H182" s="298">
        <f t="shared" si="2"/>
        <v>11804</v>
      </c>
      <c r="I182" s="289"/>
    </row>
    <row r="183" spans="1:9" ht="51.75" customHeight="1">
      <c r="A183" s="289" t="s">
        <v>6</v>
      </c>
      <c r="B183" s="289" t="s">
        <v>541</v>
      </c>
      <c r="C183" s="303" t="s">
        <v>549</v>
      </c>
      <c r="D183" s="300">
        <v>0</v>
      </c>
      <c r="E183" s="300">
        <v>31000</v>
      </c>
      <c r="F183" s="301">
        <v>31000</v>
      </c>
      <c r="G183" s="298">
        <v>29144</v>
      </c>
      <c r="H183" s="298">
        <f t="shared" si="2"/>
        <v>60144</v>
      </c>
      <c r="I183" s="289"/>
    </row>
    <row r="184" spans="1:9" ht="51.75" customHeight="1">
      <c r="A184" s="289" t="s">
        <v>6</v>
      </c>
      <c r="B184" s="289" t="s">
        <v>541</v>
      </c>
      <c r="C184" s="303" t="s">
        <v>550</v>
      </c>
      <c r="D184" s="300">
        <v>0</v>
      </c>
      <c r="E184" s="300">
        <v>11804</v>
      </c>
      <c r="F184" s="301">
        <v>11804</v>
      </c>
      <c r="G184" s="298">
        <v>50017</v>
      </c>
      <c r="H184" s="298">
        <f t="shared" si="2"/>
        <v>61821</v>
      </c>
      <c r="I184" s="289"/>
    </row>
    <row r="185" spans="1:9" ht="51.75" customHeight="1">
      <c r="A185" s="289" t="s">
        <v>6</v>
      </c>
      <c r="B185" s="289" t="s">
        <v>541</v>
      </c>
      <c r="C185" s="304" t="s">
        <v>591</v>
      </c>
      <c r="D185" s="300"/>
      <c r="E185" s="300"/>
      <c r="F185" s="301"/>
      <c r="G185" s="298">
        <v>6100</v>
      </c>
      <c r="H185" s="298">
        <f t="shared" si="2"/>
        <v>6100</v>
      </c>
      <c r="I185" s="289"/>
    </row>
    <row r="186" spans="1:9" ht="51.75" customHeight="1">
      <c r="A186" s="289" t="s">
        <v>6</v>
      </c>
      <c r="B186" s="289" t="s">
        <v>541</v>
      </c>
      <c r="C186" s="304" t="s">
        <v>592</v>
      </c>
      <c r="D186" s="300"/>
      <c r="E186" s="300"/>
      <c r="F186" s="301"/>
      <c r="G186" s="298">
        <v>1736.44</v>
      </c>
      <c r="H186" s="298">
        <f t="shared" si="2"/>
        <v>1736.44</v>
      </c>
      <c r="I186" s="289"/>
    </row>
    <row r="187" spans="1:9" ht="51.75" customHeight="1">
      <c r="A187" s="289" t="s">
        <v>6</v>
      </c>
      <c r="B187" s="289" t="s">
        <v>541</v>
      </c>
      <c r="C187" s="304" t="s">
        <v>593</v>
      </c>
      <c r="D187" s="300"/>
      <c r="E187" s="300"/>
      <c r="F187" s="301"/>
      <c r="G187" s="298">
        <v>8033.025</v>
      </c>
      <c r="H187" s="298">
        <f t="shared" si="2"/>
        <v>8033.025</v>
      </c>
      <c r="I187" s="289"/>
    </row>
    <row r="188" spans="1:9" ht="51.75" customHeight="1">
      <c r="A188" s="289" t="s">
        <v>6</v>
      </c>
      <c r="B188" s="289" t="s">
        <v>541</v>
      </c>
      <c r="C188" s="304" t="s">
        <v>594</v>
      </c>
      <c r="D188" s="300"/>
      <c r="E188" s="300"/>
      <c r="F188" s="301"/>
      <c r="G188" s="298">
        <v>7613.9595</v>
      </c>
      <c r="H188" s="298">
        <f t="shared" si="2"/>
        <v>7613.9595</v>
      </c>
      <c r="I188" s="289"/>
    </row>
    <row r="189" spans="1:9" ht="51.75" customHeight="1">
      <c r="A189" s="289" t="s">
        <v>6</v>
      </c>
      <c r="B189" s="289" t="s">
        <v>541</v>
      </c>
      <c r="C189" s="304" t="s">
        <v>608</v>
      </c>
      <c r="D189" s="300"/>
      <c r="E189" s="300"/>
      <c r="F189" s="301"/>
      <c r="G189" s="298">
        <v>42430.00445037828</v>
      </c>
      <c r="H189" s="298">
        <f t="shared" si="2"/>
        <v>42430.00445037828</v>
      </c>
      <c r="I189" s="289"/>
    </row>
    <row r="190" spans="1:9" ht="51.75" customHeight="1">
      <c r="A190" s="289" t="s">
        <v>6</v>
      </c>
      <c r="B190" s="289" t="s">
        <v>541</v>
      </c>
      <c r="C190" s="304" t="s">
        <v>609</v>
      </c>
      <c r="D190" s="300"/>
      <c r="E190" s="300"/>
      <c r="F190" s="301"/>
      <c r="G190" s="298">
        <v>25538.264352469956</v>
      </c>
      <c r="H190" s="298">
        <f t="shared" si="2"/>
        <v>25538.264352469956</v>
      </c>
      <c r="I190" s="289"/>
    </row>
    <row r="191" spans="1:9" ht="51.75" customHeight="1">
      <c r="A191" s="289" t="s">
        <v>6</v>
      </c>
      <c r="B191" s="289" t="s">
        <v>541</v>
      </c>
      <c r="C191" s="304" t="s">
        <v>610</v>
      </c>
      <c r="D191" s="300"/>
      <c r="E191" s="300"/>
      <c r="F191" s="301"/>
      <c r="G191" s="298">
        <v>6351.001335113484</v>
      </c>
      <c r="H191" s="298">
        <f t="shared" si="2"/>
        <v>6351.001335113484</v>
      </c>
      <c r="I191" s="289"/>
    </row>
    <row r="192" spans="1:9" ht="51.75" customHeight="1">
      <c r="A192" s="289" t="s">
        <v>6</v>
      </c>
      <c r="B192" s="289" t="s">
        <v>541</v>
      </c>
      <c r="C192" s="304" t="s">
        <v>611</v>
      </c>
      <c r="D192" s="300"/>
      <c r="E192" s="300"/>
      <c r="F192" s="301"/>
      <c r="G192" s="298">
        <v>9800</v>
      </c>
      <c r="H192" s="298">
        <f t="shared" si="2"/>
        <v>9800</v>
      </c>
      <c r="I192" s="289"/>
    </row>
    <row r="193" spans="1:9" ht="51.75" customHeight="1">
      <c r="A193" s="289" t="s">
        <v>6</v>
      </c>
      <c r="B193" s="289" t="s">
        <v>541</v>
      </c>
      <c r="C193" s="304" t="s">
        <v>612</v>
      </c>
      <c r="D193" s="300"/>
      <c r="E193" s="300"/>
      <c r="F193" s="301"/>
      <c r="G193" s="298">
        <v>12769.132176234978</v>
      </c>
      <c r="H193" s="298">
        <f t="shared" si="2"/>
        <v>12769.132176234978</v>
      </c>
      <c r="I193" s="289"/>
    </row>
    <row r="194" spans="1:9" ht="51.75" customHeight="1">
      <c r="A194" s="289" t="s">
        <v>6</v>
      </c>
      <c r="B194" s="289" t="s">
        <v>541</v>
      </c>
      <c r="C194" s="304" t="s">
        <v>616</v>
      </c>
      <c r="D194" s="300"/>
      <c r="E194" s="300"/>
      <c r="F194" s="301"/>
      <c r="G194" s="298">
        <v>6782.19</v>
      </c>
      <c r="H194" s="298">
        <f t="shared" si="2"/>
        <v>6782.19</v>
      </c>
      <c r="I194" s="289"/>
    </row>
    <row r="195" spans="1:9" ht="51.75" customHeight="1">
      <c r="A195" s="289" t="s">
        <v>6</v>
      </c>
      <c r="B195" s="289" t="s">
        <v>541</v>
      </c>
      <c r="C195" s="304" t="s">
        <v>619</v>
      </c>
      <c r="D195" s="300"/>
      <c r="E195" s="300"/>
      <c r="F195" s="301"/>
      <c r="G195" s="298">
        <v>12046.5</v>
      </c>
      <c r="H195" s="298">
        <f t="shared" si="2"/>
        <v>12046.5</v>
      </c>
      <c r="I195" s="289"/>
    </row>
    <row r="196" spans="1:9" ht="51.75" customHeight="1">
      <c r="A196" s="289" t="s">
        <v>6</v>
      </c>
      <c r="B196" s="289" t="s">
        <v>541</v>
      </c>
      <c r="C196" s="304" t="s">
        <v>641</v>
      </c>
      <c r="D196" s="300"/>
      <c r="E196" s="300"/>
      <c r="F196" s="301"/>
      <c r="G196" s="298">
        <v>1263.5</v>
      </c>
      <c r="H196" s="298">
        <f aca="true" t="shared" si="3" ref="H196:H206">F196+G196</f>
        <v>1263.5</v>
      </c>
      <c r="I196" s="289"/>
    </row>
    <row r="197" spans="1:9" ht="51.75" customHeight="1">
      <c r="A197" s="289" t="s">
        <v>6</v>
      </c>
      <c r="B197" s="289" t="s">
        <v>541</v>
      </c>
      <c r="C197" s="311" t="s">
        <v>666</v>
      </c>
      <c r="D197" s="300"/>
      <c r="E197" s="300"/>
      <c r="F197" s="301"/>
      <c r="G197" s="298">
        <v>81976</v>
      </c>
      <c r="H197" s="298">
        <f t="shared" si="3"/>
        <v>81976</v>
      </c>
      <c r="I197" s="289"/>
    </row>
    <row r="198" spans="1:9" ht="51.75" customHeight="1">
      <c r="A198" s="289" t="s">
        <v>6</v>
      </c>
      <c r="B198" s="289" t="s">
        <v>541</v>
      </c>
      <c r="C198" s="312" t="s">
        <v>686</v>
      </c>
      <c r="D198" s="300"/>
      <c r="E198" s="300"/>
      <c r="F198" s="301"/>
      <c r="G198" s="298">
        <v>12387.81525</v>
      </c>
      <c r="H198" s="298">
        <f t="shared" si="3"/>
        <v>12387.81525</v>
      </c>
      <c r="I198" s="289"/>
    </row>
    <row r="199" spans="1:9" ht="51.75" customHeight="1">
      <c r="A199" s="289" t="s">
        <v>6</v>
      </c>
      <c r="B199" s="289" t="s">
        <v>541</v>
      </c>
      <c r="C199" s="311" t="s">
        <v>693</v>
      </c>
      <c r="D199" s="300"/>
      <c r="E199" s="300"/>
      <c r="F199" s="301"/>
      <c r="G199" s="298">
        <v>45393</v>
      </c>
      <c r="H199" s="298">
        <f t="shared" si="3"/>
        <v>45393</v>
      </c>
      <c r="I199" s="289"/>
    </row>
    <row r="200" spans="1:9" ht="51.75" customHeight="1">
      <c r="A200" s="289" t="s">
        <v>13</v>
      </c>
      <c r="B200" s="289" t="s">
        <v>28</v>
      </c>
      <c r="C200" s="299" t="s">
        <v>482</v>
      </c>
      <c r="D200" s="300">
        <v>3311</v>
      </c>
      <c r="E200" s="300">
        <v>370132</v>
      </c>
      <c r="F200" s="301">
        <v>373443</v>
      </c>
      <c r="G200" s="305">
        <v>-9920.651150000002</v>
      </c>
      <c r="H200" s="298">
        <f t="shared" si="3"/>
        <v>363522.34885</v>
      </c>
      <c r="I200" s="289"/>
    </row>
    <row r="201" spans="1:9" ht="51.75" customHeight="1">
      <c r="A201" s="289" t="s">
        <v>13</v>
      </c>
      <c r="B201" s="289" t="s">
        <v>28</v>
      </c>
      <c r="C201" s="299" t="s">
        <v>483</v>
      </c>
      <c r="D201" s="300">
        <v>3311</v>
      </c>
      <c r="E201" s="300">
        <v>370132</v>
      </c>
      <c r="F201" s="301">
        <v>373443</v>
      </c>
      <c r="G201" s="298">
        <v>0</v>
      </c>
      <c r="H201" s="298">
        <f t="shared" si="3"/>
        <v>373443</v>
      </c>
      <c r="I201" s="289"/>
    </row>
    <row r="202" spans="1:9" ht="51.75" customHeight="1">
      <c r="A202" s="289" t="s">
        <v>13</v>
      </c>
      <c r="B202" s="289" t="s">
        <v>28</v>
      </c>
      <c r="C202" s="299" t="s">
        <v>484</v>
      </c>
      <c r="D202" s="300">
        <v>3311</v>
      </c>
      <c r="E202" s="300">
        <v>370132</v>
      </c>
      <c r="F202" s="301">
        <v>373443</v>
      </c>
      <c r="G202" s="298">
        <v>0</v>
      </c>
      <c r="H202" s="298">
        <f t="shared" si="3"/>
        <v>373443</v>
      </c>
      <c r="I202" s="289"/>
    </row>
    <row r="203" spans="1:9" ht="51.75" customHeight="1">
      <c r="A203" s="289" t="s">
        <v>13</v>
      </c>
      <c r="B203" s="289" t="s">
        <v>28</v>
      </c>
      <c r="C203" s="299" t="s">
        <v>485</v>
      </c>
      <c r="D203" s="300">
        <v>3311</v>
      </c>
      <c r="E203" s="300">
        <v>370132</v>
      </c>
      <c r="F203" s="301">
        <v>373443</v>
      </c>
      <c r="G203" s="298">
        <v>0</v>
      </c>
      <c r="H203" s="298">
        <f t="shared" si="3"/>
        <v>373443</v>
      </c>
      <c r="I203" s="289"/>
    </row>
    <row r="204" spans="1:9" ht="51.75" customHeight="1">
      <c r="A204" s="289" t="s">
        <v>13</v>
      </c>
      <c r="B204" s="289" t="s">
        <v>28</v>
      </c>
      <c r="C204" s="299" t="s">
        <v>486</v>
      </c>
      <c r="D204" s="300">
        <v>39028</v>
      </c>
      <c r="E204" s="300">
        <v>18689</v>
      </c>
      <c r="F204" s="301">
        <v>57717</v>
      </c>
      <c r="G204" s="298">
        <v>30931.23</v>
      </c>
      <c r="H204" s="298">
        <f t="shared" si="3"/>
        <v>88648.23</v>
      </c>
      <c r="I204" s="289"/>
    </row>
    <row r="205" spans="1:9" ht="51.75" customHeight="1">
      <c r="A205" s="289" t="s">
        <v>13</v>
      </c>
      <c r="B205" s="289" t="s">
        <v>28</v>
      </c>
      <c r="C205" s="299" t="s">
        <v>487</v>
      </c>
      <c r="D205" s="300">
        <v>39028</v>
      </c>
      <c r="E205" s="300">
        <v>18689</v>
      </c>
      <c r="F205" s="301">
        <v>57717</v>
      </c>
      <c r="G205" s="298">
        <v>20188.945238095243</v>
      </c>
      <c r="H205" s="298">
        <f t="shared" si="3"/>
        <v>77905.94523809524</v>
      </c>
      <c r="I205" s="289"/>
    </row>
    <row r="206" spans="1:9" ht="51.75" customHeight="1">
      <c r="A206" s="289" t="s">
        <v>13</v>
      </c>
      <c r="B206" s="289" t="s">
        <v>28</v>
      </c>
      <c r="C206" s="299" t="s">
        <v>488</v>
      </c>
      <c r="D206" s="300">
        <v>39028</v>
      </c>
      <c r="E206" s="300">
        <v>18689</v>
      </c>
      <c r="F206" s="301">
        <v>57717</v>
      </c>
      <c r="G206" s="298">
        <v>20188.945238095243</v>
      </c>
      <c r="H206" s="298">
        <f t="shared" si="3"/>
        <v>77905.94523809524</v>
      </c>
      <c r="I206" s="289"/>
    </row>
    <row r="207" spans="1:9" ht="51.75" customHeight="1">
      <c r="A207" s="289" t="s">
        <v>13</v>
      </c>
      <c r="B207" s="289" t="s">
        <v>428</v>
      </c>
      <c r="C207" s="302" t="s">
        <v>429</v>
      </c>
      <c r="D207" s="300"/>
      <c r="E207" s="300"/>
      <c r="F207" s="301"/>
      <c r="G207" s="298"/>
      <c r="H207" s="298"/>
      <c r="I207" s="289"/>
    </row>
    <row r="208" spans="1:9" ht="51.75" customHeight="1">
      <c r="A208" s="289" t="s">
        <v>13</v>
      </c>
      <c r="B208" s="289" t="s">
        <v>428</v>
      </c>
      <c r="C208" s="299" t="s">
        <v>430</v>
      </c>
      <c r="D208" s="300">
        <v>18584</v>
      </c>
      <c r="E208" s="300">
        <v>19270</v>
      </c>
      <c r="F208" s="301">
        <v>37854</v>
      </c>
      <c r="G208" s="305">
        <v>44488.442</v>
      </c>
      <c r="H208" s="298">
        <f aca="true" t="shared" si="4" ref="H208:H239">F208+G208</f>
        <v>82342.44200000001</v>
      </c>
      <c r="I208" s="289"/>
    </row>
    <row r="209" spans="1:9" ht="51.75" customHeight="1">
      <c r="A209" s="289" t="s">
        <v>13</v>
      </c>
      <c r="B209" s="289" t="s">
        <v>428</v>
      </c>
      <c r="C209" s="299" t="s">
        <v>431</v>
      </c>
      <c r="D209" s="300">
        <v>7254</v>
      </c>
      <c r="E209" s="300">
        <v>28146</v>
      </c>
      <c r="F209" s="301">
        <v>35400</v>
      </c>
      <c r="G209" s="305">
        <v>-12520.367999999999</v>
      </c>
      <c r="H209" s="298">
        <f t="shared" si="4"/>
        <v>22879.632</v>
      </c>
      <c r="I209" s="289"/>
    </row>
    <row r="210" spans="1:9" ht="51.75" customHeight="1">
      <c r="A210" s="289" t="s">
        <v>13</v>
      </c>
      <c r="B210" s="289" t="s">
        <v>428</v>
      </c>
      <c r="C210" s="299" t="s">
        <v>432</v>
      </c>
      <c r="D210" s="300">
        <v>4317</v>
      </c>
      <c r="E210" s="300">
        <v>3141</v>
      </c>
      <c r="F210" s="301">
        <v>7458</v>
      </c>
      <c r="G210" s="298">
        <v>0</v>
      </c>
      <c r="H210" s="298">
        <f t="shared" si="4"/>
        <v>7458</v>
      </c>
      <c r="I210" s="289"/>
    </row>
    <row r="211" spans="1:9" ht="51.75" customHeight="1">
      <c r="A211" s="289" t="s">
        <v>13</v>
      </c>
      <c r="B211" s="289" t="s">
        <v>428</v>
      </c>
      <c r="C211" s="299" t="s">
        <v>433</v>
      </c>
      <c r="D211" s="300">
        <v>65796</v>
      </c>
      <c r="E211" s="300">
        <v>19306</v>
      </c>
      <c r="F211" s="301">
        <v>85102</v>
      </c>
      <c r="G211" s="298">
        <v>-16879.41</v>
      </c>
      <c r="H211" s="298">
        <f t="shared" si="4"/>
        <v>68222.59</v>
      </c>
      <c r="I211" s="289"/>
    </row>
    <row r="212" spans="1:9" ht="51.75" customHeight="1">
      <c r="A212" s="289" t="s">
        <v>13</v>
      </c>
      <c r="B212" s="289" t="s">
        <v>428</v>
      </c>
      <c r="C212" s="299" t="s">
        <v>434</v>
      </c>
      <c r="D212" s="300">
        <v>0</v>
      </c>
      <c r="E212" s="300">
        <v>6180</v>
      </c>
      <c r="F212" s="301">
        <v>6180</v>
      </c>
      <c r="G212" s="298">
        <v>4933.98</v>
      </c>
      <c r="H212" s="298">
        <f t="shared" si="4"/>
        <v>11113.98</v>
      </c>
      <c r="I212" s="289"/>
    </row>
    <row r="213" spans="1:9" ht="51.75" customHeight="1">
      <c r="A213" s="289" t="s">
        <v>13</v>
      </c>
      <c r="B213" s="289" t="s">
        <v>428</v>
      </c>
      <c r="C213" s="299" t="s">
        <v>435</v>
      </c>
      <c r="D213" s="300">
        <v>2305</v>
      </c>
      <c r="E213" s="300">
        <v>4678</v>
      </c>
      <c r="F213" s="301">
        <v>6983</v>
      </c>
      <c r="G213" s="298">
        <v>1700</v>
      </c>
      <c r="H213" s="298">
        <f t="shared" si="4"/>
        <v>8683</v>
      </c>
      <c r="I213" s="289"/>
    </row>
    <row r="214" spans="1:9" ht="51.75" customHeight="1">
      <c r="A214" s="289" t="s">
        <v>13</v>
      </c>
      <c r="B214" s="289" t="s">
        <v>428</v>
      </c>
      <c r="C214" s="299" t="s">
        <v>436</v>
      </c>
      <c r="D214" s="300">
        <v>1766</v>
      </c>
      <c r="E214" s="300">
        <v>1473</v>
      </c>
      <c r="F214" s="301">
        <v>3239</v>
      </c>
      <c r="G214" s="298">
        <v>2098</v>
      </c>
      <c r="H214" s="298">
        <f t="shared" si="4"/>
        <v>5337</v>
      </c>
      <c r="I214" s="289"/>
    </row>
    <row r="215" spans="1:9" ht="51.75" customHeight="1">
      <c r="A215" s="289" t="s">
        <v>13</v>
      </c>
      <c r="B215" s="289" t="s">
        <v>428</v>
      </c>
      <c r="C215" s="299" t="s">
        <v>437</v>
      </c>
      <c r="D215" s="300">
        <v>2985</v>
      </c>
      <c r="E215" s="300">
        <v>1473</v>
      </c>
      <c r="F215" s="301">
        <v>4458</v>
      </c>
      <c r="G215" s="298">
        <v>1756</v>
      </c>
      <c r="H215" s="298">
        <f t="shared" si="4"/>
        <v>6214</v>
      </c>
      <c r="I215" s="289"/>
    </row>
    <row r="216" spans="1:9" ht="51.75" customHeight="1">
      <c r="A216" s="289" t="s">
        <v>13</v>
      </c>
      <c r="B216" s="289" t="s">
        <v>428</v>
      </c>
      <c r="C216" s="299" t="s">
        <v>438</v>
      </c>
      <c r="D216" s="300">
        <v>6490</v>
      </c>
      <c r="E216" s="300">
        <v>3791</v>
      </c>
      <c r="F216" s="301">
        <v>10281</v>
      </c>
      <c r="G216" s="298">
        <v>10118</v>
      </c>
      <c r="H216" s="298">
        <f t="shared" si="4"/>
        <v>20399</v>
      </c>
      <c r="I216" s="289"/>
    </row>
    <row r="217" spans="1:9" ht="51.75" customHeight="1">
      <c r="A217" s="289" t="s">
        <v>13</v>
      </c>
      <c r="B217" s="289" t="s">
        <v>428</v>
      </c>
      <c r="C217" s="299" t="s">
        <v>439</v>
      </c>
      <c r="D217" s="300">
        <v>99</v>
      </c>
      <c r="E217" s="300">
        <v>9653</v>
      </c>
      <c r="F217" s="301">
        <v>9752</v>
      </c>
      <c r="G217" s="298">
        <v>4008</v>
      </c>
      <c r="H217" s="298">
        <f t="shared" si="4"/>
        <v>13760</v>
      </c>
      <c r="I217" s="289"/>
    </row>
    <row r="218" spans="1:9" ht="51.75" customHeight="1">
      <c r="A218" s="289" t="s">
        <v>13</v>
      </c>
      <c r="B218" s="289" t="s">
        <v>428</v>
      </c>
      <c r="C218" s="299" t="s">
        <v>440</v>
      </c>
      <c r="D218" s="300">
        <v>0</v>
      </c>
      <c r="E218" s="300">
        <v>0</v>
      </c>
      <c r="F218" s="301">
        <v>0</v>
      </c>
      <c r="G218" s="298">
        <v>0</v>
      </c>
      <c r="H218" s="298">
        <f t="shared" si="4"/>
        <v>0</v>
      </c>
      <c r="I218" s="289"/>
    </row>
    <row r="219" spans="1:9" ht="51.75" customHeight="1">
      <c r="A219" s="289" t="s">
        <v>13</v>
      </c>
      <c r="B219" s="289" t="s">
        <v>428</v>
      </c>
      <c r="C219" s="299" t="s">
        <v>441</v>
      </c>
      <c r="D219" s="300">
        <v>99</v>
      </c>
      <c r="E219" s="300">
        <v>11391</v>
      </c>
      <c r="F219" s="301">
        <v>11490</v>
      </c>
      <c r="G219" s="305">
        <v>-3640</v>
      </c>
      <c r="H219" s="298">
        <f t="shared" si="4"/>
        <v>7850</v>
      </c>
      <c r="I219" s="289"/>
    </row>
    <row r="220" spans="1:9" ht="51.75" customHeight="1">
      <c r="A220" s="289" t="s">
        <v>13</v>
      </c>
      <c r="B220" s="289" t="s">
        <v>428</v>
      </c>
      <c r="C220" s="299" t="s">
        <v>442</v>
      </c>
      <c r="D220" s="300">
        <v>198</v>
      </c>
      <c r="E220" s="300">
        <v>22783</v>
      </c>
      <c r="F220" s="301">
        <v>22981</v>
      </c>
      <c r="G220" s="305">
        <v>-8281</v>
      </c>
      <c r="H220" s="298">
        <f t="shared" si="4"/>
        <v>14700</v>
      </c>
      <c r="I220" s="289"/>
    </row>
    <row r="221" spans="1:9" ht="51.75" customHeight="1">
      <c r="A221" s="289" t="s">
        <v>13</v>
      </c>
      <c r="B221" s="289" t="s">
        <v>428</v>
      </c>
      <c r="C221" s="299" t="s">
        <v>443</v>
      </c>
      <c r="D221" s="300">
        <v>198</v>
      </c>
      <c r="E221" s="300">
        <v>4392</v>
      </c>
      <c r="F221" s="301">
        <v>4590</v>
      </c>
      <c r="G221" s="305">
        <v>-30</v>
      </c>
      <c r="H221" s="298">
        <f t="shared" si="4"/>
        <v>4560</v>
      </c>
      <c r="I221" s="289"/>
    </row>
    <row r="222" spans="1:9" ht="51.75" customHeight="1">
      <c r="A222" s="289" t="s">
        <v>13</v>
      </c>
      <c r="B222" s="289" t="s">
        <v>428</v>
      </c>
      <c r="C222" s="299" t="s">
        <v>444</v>
      </c>
      <c r="D222" s="300">
        <v>142</v>
      </c>
      <c r="E222" s="300">
        <v>6573</v>
      </c>
      <c r="F222" s="301">
        <v>6715</v>
      </c>
      <c r="G222" s="298">
        <v>1385</v>
      </c>
      <c r="H222" s="298">
        <f t="shared" si="4"/>
        <v>8100</v>
      </c>
      <c r="I222" s="289"/>
    </row>
    <row r="223" spans="1:9" ht="51.75" customHeight="1">
      <c r="A223" s="289" t="s">
        <v>13</v>
      </c>
      <c r="B223" s="289" t="s">
        <v>428</v>
      </c>
      <c r="C223" s="299" t="s">
        <v>445</v>
      </c>
      <c r="D223" s="300">
        <v>6528</v>
      </c>
      <c r="E223" s="300">
        <v>1892</v>
      </c>
      <c r="F223" s="301">
        <v>8420</v>
      </c>
      <c r="G223" s="298">
        <v>8575</v>
      </c>
      <c r="H223" s="298">
        <f t="shared" si="4"/>
        <v>16995</v>
      </c>
      <c r="I223" s="289"/>
    </row>
    <row r="224" spans="1:9" ht="51.75" customHeight="1">
      <c r="A224" s="289" t="s">
        <v>13</v>
      </c>
      <c r="B224" s="289" t="s">
        <v>428</v>
      </c>
      <c r="C224" s="299" t="s">
        <v>446</v>
      </c>
      <c r="D224" s="300">
        <v>0</v>
      </c>
      <c r="E224" s="300">
        <v>0</v>
      </c>
      <c r="F224" s="301">
        <v>0</v>
      </c>
      <c r="G224" s="298">
        <v>0</v>
      </c>
      <c r="H224" s="298">
        <f t="shared" si="4"/>
        <v>0</v>
      </c>
      <c r="I224" s="289"/>
    </row>
    <row r="225" spans="1:9" ht="51.75" customHeight="1">
      <c r="A225" s="289" t="s">
        <v>13</v>
      </c>
      <c r="B225" s="289" t="s">
        <v>428</v>
      </c>
      <c r="C225" s="299" t="s">
        <v>447</v>
      </c>
      <c r="D225" s="300">
        <v>3854</v>
      </c>
      <c r="E225" s="300">
        <v>3791</v>
      </c>
      <c r="F225" s="301">
        <v>7645</v>
      </c>
      <c r="G225" s="298">
        <v>17032</v>
      </c>
      <c r="H225" s="298">
        <f t="shared" si="4"/>
        <v>24677</v>
      </c>
      <c r="I225" s="289"/>
    </row>
    <row r="226" spans="1:9" ht="51.75" customHeight="1">
      <c r="A226" s="289" t="s">
        <v>13</v>
      </c>
      <c r="B226" s="289" t="s">
        <v>428</v>
      </c>
      <c r="C226" s="299" t="s">
        <v>448</v>
      </c>
      <c r="D226" s="300">
        <v>1612</v>
      </c>
      <c r="E226" s="300">
        <v>1941</v>
      </c>
      <c r="F226" s="301">
        <v>3553</v>
      </c>
      <c r="G226" s="298">
        <v>6924</v>
      </c>
      <c r="H226" s="298">
        <f t="shared" si="4"/>
        <v>10477</v>
      </c>
      <c r="I226" s="289"/>
    </row>
    <row r="227" spans="1:9" ht="51.75" customHeight="1">
      <c r="A227" s="289" t="s">
        <v>13</v>
      </c>
      <c r="B227" s="289" t="s">
        <v>428</v>
      </c>
      <c r="C227" s="299" t="s">
        <v>449</v>
      </c>
      <c r="D227" s="300">
        <v>9520</v>
      </c>
      <c r="E227" s="300">
        <v>1953</v>
      </c>
      <c r="F227" s="301">
        <v>11473</v>
      </c>
      <c r="G227" s="298">
        <v>0</v>
      </c>
      <c r="H227" s="298">
        <f t="shared" si="4"/>
        <v>11473</v>
      </c>
      <c r="I227" s="289"/>
    </row>
    <row r="228" spans="1:9" ht="51.75" customHeight="1">
      <c r="A228" s="289" t="s">
        <v>13</v>
      </c>
      <c r="B228" s="289" t="s">
        <v>428</v>
      </c>
      <c r="C228" s="299" t="s">
        <v>450</v>
      </c>
      <c r="D228" s="300">
        <v>16555</v>
      </c>
      <c r="E228" s="300">
        <v>7085</v>
      </c>
      <c r="F228" s="301">
        <v>23640</v>
      </c>
      <c r="G228" s="298">
        <v>5765</v>
      </c>
      <c r="H228" s="298">
        <f t="shared" si="4"/>
        <v>29405</v>
      </c>
      <c r="I228" s="289"/>
    </row>
    <row r="229" spans="1:9" ht="51.75" customHeight="1">
      <c r="A229" s="289" t="s">
        <v>13</v>
      </c>
      <c r="B229" s="289" t="s">
        <v>428</v>
      </c>
      <c r="C229" s="299" t="s">
        <v>451</v>
      </c>
      <c r="D229" s="300">
        <v>1000</v>
      </c>
      <c r="E229" s="300">
        <v>244</v>
      </c>
      <c r="F229" s="301">
        <v>1244</v>
      </c>
      <c r="G229" s="298">
        <v>1498.1435699999997</v>
      </c>
      <c r="H229" s="298">
        <f t="shared" si="4"/>
        <v>2742.1435699999997</v>
      </c>
      <c r="I229" s="289"/>
    </row>
    <row r="230" spans="1:9" ht="51.75" customHeight="1">
      <c r="A230" s="289" t="s">
        <v>13</v>
      </c>
      <c r="B230" s="289" t="s">
        <v>428</v>
      </c>
      <c r="C230" s="299" t="s">
        <v>452</v>
      </c>
      <c r="D230" s="300">
        <v>6528</v>
      </c>
      <c r="E230" s="300">
        <v>132</v>
      </c>
      <c r="F230" s="301">
        <v>6660</v>
      </c>
      <c r="G230" s="298">
        <v>0</v>
      </c>
      <c r="H230" s="298">
        <f t="shared" si="4"/>
        <v>6660</v>
      </c>
      <c r="I230" s="289"/>
    </row>
    <row r="231" spans="1:9" ht="51.75" customHeight="1">
      <c r="A231" s="289" t="s">
        <v>13</v>
      </c>
      <c r="B231" s="289" t="s">
        <v>428</v>
      </c>
      <c r="C231" s="304" t="s">
        <v>453</v>
      </c>
      <c r="D231" s="300"/>
      <c r="E231" s="300"/>
      <c r="F231" s="301"/>
      <c r="G231" s="298">
        <v>4058</v>
      </c>
      <c r="H231" s="298">
        <f t="shared" si="4"/>
        <v>4058</v>
      </c>
      <c r="I231" s="289"/>
    </row>
    <row r="232" spans="1:9" ht="51.75" customHeight="1">
      <c r="A232" s="289" t="s">
        <v>13</v>
      </c>
      <c r="B232" s="289" t="s">
        <v>428</v>
      </c>
      <c r="C232" s="304" t="s">
        <v>454</v>
      </c>
      <c r="D232" s="300"/>
      <c r="E232" s="300"/>
      <c r="F232" s="301"/>
      <c r="G232" s="298">
        <v>676.85</v>
      </c>
      <c r="H232" s="298">
        <f t="shared" si="4"/>
        <v>676.85</v>
      </c>
      <c r="I232" s="289"/>
    </row>
    <row r="233" spans="1:9" ht="51.75" customHeight="1">
      <c r="A233" s="289" t="s">
        <v>13</v>
      </c>
      <c r="B233" s="289" t="s">
        <v>428</v>
      </c>
      <c r="C233" s="304" t="s">
        <v>455</v>
      </c>
      <c r="D233" s="300"/>
      <c r="E233" s="300"/>
      <c r="F233" s="301"/>
      <c r="G233" s="298">
        <v>1658.27</v>
      </c>
      <c r="H233" s="298">
        <f t="shared" si="4"/>
        <v>1658.27</v>
      </c>
      <c r="I233" s="289"/>
    </row>
    <row r="234" spans="1:9" ht="51.75" customHeight="1">
      <c r="A234" s="289" t="s">
        <v>13</v>
      </c>
      <c r="B234" s="289" t="s">
        <v>428</v>
      </c>
      <c r="C234" s="304" t="s">
        <v>456</v>
      </c>
      <c r="D234" s="300"/>
      <c r="E234" s="300"/>
      <c r="F234" s="301"/>
      <c r="G234" s="298">
        <v>44204.69</v>
      </c>
      <c r="H234" s="298">
        <f t="shared" si="4"/>
        <v>44204.69</v>
      </c>
      <c r="I234" s="289"/>
    </row>
    <row r="235" spans="1:9" ht="51.75" customHeight="1">
      <c r="A235" s="289" t="s">
        <v>13</v>
      </c>
      <c r="B235" s="289" t="s">
        <v>428</v>
      </c>
      <c r="C235" s="304" t="s">
        <v>457</v>
      </c>
      <c r="D235" s="300"/>
      <c r="E235" s="300"/>
      <c r="F235" s="301"/>
      <c r="G235" s="298">
        <v>1611.49</v>
      </c>
      <c r="H235" s="298">
        <f t="shared" si="4"/>
        <v>1611.49</v>
      </c>
      <c r="I235" s="289"/>
    </row>
    <row r="236" spans="1:9" ht="51.75" customHeight="1">
      <c r="A236" s="289" t="s">
        <v>13</v>
      </c>
      <c r="B236" s="289" t="s">
        <v>428</v>
      </c>
      <c r="C236" s="304" t="s">
        <v>458</v>
      </c>
      <c r="D236" s="300"/>
      <c r="E236" s="300"/>
      <c r="F236" s="301"/>
      <c r="G236" s="298">
        <v>23913.03</v>
      </c>
      <c r="H236" s="298">
        <f t="shared" si="4"/>
        <v>23913.03</v>
      </c>
      <c r="I236" s="289"/>
    </row>
    <row r="237" spans="1:9" ht="51.75" customHeight="1">
      <c r="A237" s="289" t="s">
        <v>13</v>
      </c>
      <c r="B237" s="289" t="s">
        <v>428</v>
      </c>
      <c r="C237" s="304" t="s">
        <v>459</v>
      </c>
      <c r="D237" s="300"/>
      <c r="E237" s="300"/>
      <c r="F237" s="301"/>
      <c r="G237" s="298">
        <v>635.51</v>
      </c>
      <c r="H237" s="298">
        <f t="shared" si="4"/>
        <v>635.51</v>
      </c>
      <c r="I237" s="289"/>
    </row>
    <row r="238" spans="1:9" ht="51.75" customHeight="1">
      <c r="A238" s="289" t="s">
        <v>13</v>
      </c>
      <c r="B238" s="289" t="s">
        <v>428</v>
      </c>
      <c r="C238" s="304" t="s">
        <v>460</v>
      </c>
      <c r="D238" s="300"/>
      <c r="E238" s="300"/>
      <c r="F238" s="301"/>
      <c r="G238" s="298">
        <v>5608.67</v>
      </c>
      <c r="H238" s="298">
        <f t="shared" si="4"/>
        <v>5608.67</v>
      </c>
      <c r="I238" s="289"/>
    </row>
    <row r="239" spans="1:9" ht="51.75" customHeight="1">
      <c r="A239" s="289" t="s">
        <v>13</v>
      </c>
      <c r="B239" s="289" t="s">
        <v>428</v>
      </c>
      <c r="C239" s="304" t="s">
        <v>461</v>
      </c>
      <c r="D239" s="300"/>
      <c r="E239" s="300"/>
      <c r="F239" s="301"/>
      <c r="G239" s="298">
        <v>2391.45</v>
      </c>
      <c r="H239" s="298">
        <f t="shared" si="4"/>
        <v>2391.45</v>
      </c>
      <c r="I239" s="289"/>
    </row>
    <row r="240" spans="1:9" ht="51.75" customHeight="1">
      <c r="A240" s="289" t="s">
        <v>13</v>
      </c>
      <c r="B240" s="289" t="s">
        <v>428</v>
      </c>
      <c r="C240" s="304" t="s">
        <v>462</v>
      </c>
      <c r="D240" s="300"/>
      <c r="E240" s="300"/>
      <c r="F240" s="301"/>
      <c r="G240" s="298">
        <v>2700.17</v>
      </c>
      <c r="H240" s="298">
        <f aca="true" t="shared" si="5" ref="H240:H271">F240+G240</f>
        <v>2700.17</v>
      </c>
      <c r="I240" s="289"/>
    </row>
    <row r="241" spans="1:9" ht="51.75" customHeight="1">
      <c r="A241" s="289" t="s">
        <v>13</v>
      </c>
      <c r="B241" s="289" t="s">
        <v>428</v>
      </c>
      <c r="C241" s="304" t="s">
        <v>463</v>
      </c>
      <c r="D241" s="300"/>
      <c r="E241" s="300"/>
      <c r="F241" s="301"/>
      <c r="G241" s="298">
        <v>326.99</v>
      </c>
      <c r="H241" s="298">
        <f t="shared" si="5"/>
        <v>326.99</v>
      </c>
      <c r="I241" s="289"/>
    </row>
    <row r="242" spans="1:9" ht="51.75" customHeight="1">
      <c r="A242" s="289" t="s">
        <v>13</v>
      </c>
      <c r="B242" s="289" t="s">
        <v>428</v>
      </c>
      <c r="C242" s="304" t="s">
        <v>464</v>
      </c>
      <c r="D242" s="300"/>
      <c r="E242" s="300"/>
      <c r="F242" s="301"/>
      <c r="G242" s="298">
        <v>7165.81</v>
      </c>
      <c r="H242" s="298">
        <f t="shared" si="5"/>
        <v>7165.81</v>
      </c>
      <c r="I242" s="289"/>
    </row>
    <row r="243" spans="1:9" ht="51.75" customHeight="1">
      <c r="A243" s="289" t="s">
        <v>13</v>
      </c>
      <c r="B243" s="289" t="s">
        <v>428</v>
      </c>
      <c r="C243" s="304" t="s">
        <v>465</v>
      </c>
      <c r="D243" s="300"/>
      <c r="E243" s="300"/>
      <c r="F243" s="301"/>
      <c r="G243" s="298">
        <v>805.93</v>
      </c>
      <c r="H243" s="298">
        <f t="shared" si="5"/>
        <v>805.93</v>
      </c>
      <c r="I243" s="289"/>
    </row>
    <row r="244" spans="1:9" ht="51.75" customHeight="1">
      <c r="A244" s="289" t="s">
        <v>13</v>
      </c>
      <c r="B244" s="289" t="s">
        <v>428</v>
      </c>
      <c r="C244" s="304" t="s">
        <v>466</v>
      </c>
      <c r="D244" s="300"/>
      <c r="E244" s="300"/>
      <c r="F244" s="301"/>
      <c r="G244" s="298">
        <v>984.25</v>
      </c>
      <c r="H244" s="298">
        <f t="shared" si="5"/>
        <v>984.25</v>
      </c>
      <c r="I244" s="289"/>
    </row>
    <row r="245" spans="1:9" ht="51.75" customHeight="1">
      <c r="A245" s="289" t="s">
        <v>13</v>
      </c>
      <c r="B245" s="289" t="s">
        <v>428</v>
      </c>
      <c r="C245" s="304" t="s">
        <v>467</v>
      </c>
      <c r="D245" s="300"/>
      <c r="E245" s="300"/>
      <c r="F245" s="301"/>
      <c r="G245" s="298">
        <v>2038.3525</v>
      </c>
      <c r="H245" s="298">
        <f t="shared" si="5"/>
        <v>2038.3525</v>
      </c>
      <c r="I245" s="289"/>
    </row>
    <row r="246" spans="1:9" ht="51.75" customHeight="1">
      <c r="A246" s="289" t="s">
        <v>13</v>
      </c>
      <c r="B246" s="289" t="s">
        <v>428</v>
      </c>
      <c r="C246" s="304" t="s">
        <v>468</v>
      </c>
      <c r="D246" s="300"/>
      <c r="E246" s="300"/>
      <c r="F246" s="301"/>
      <c r="G246" s="298">
        <v>2198.85</v>
      </c>
      <c r="H246" s="298">
        <f t="shared" si="5"/>
        <v>2198.85</v>
      </c>
      <c r="I246" s="289"/>
    </row>
    <row r="247" spans="1:9" ht="51.75" customHeight="1">
      <c r="A247" s="289" t="s">
        <v>13</v>
      </c>
      <c r="B247" s="289" t="s">
        <v>428</v>
      </c>
      <c r="C247" s="304" t="s">
        <v>469</v>
      </c>
      <c r="D247" s="300"/>
      <c r="E247" s="300"/>
      <c r="F247" s="301"/>
      <c r="G247" s="305">
        <v>10774.538605</v>
      </c>
      <c r="H247" s="298">
        <f t="shared" si="5"/>
        <v>10774.538605</v>
      </c>
      <c r="I247" s="289"/>
    </row>
    <row r="248" spans="1:9" ht="51.75" customHeight="1">
      <c r="A248" s="289" t="s">
        <v>13</v>
      </c>
      <c r="B248" s="289" t="s">
        <v>428</v>
      </c>
      <c r="C248" s="325" t="s">
        <v>470</v>
      </c>
      <c r="D248" s="300"/>
      <c r="E248" s="300"/>
      <c r="F248" s="301"/>
      <c r="G248" s="305">
        <v>1515.01</v>
      </c>
      <c r="H248" s="298">
        <f t="shared" si="5"/>
        <v>1515.01</v>
      </c>
      <c r="I248" s="289"/>
    </row>
    <row r="249" spans="1:9" ht="51.75" customHeight="1">
      <c r="A249" s="289" t="s">
        <v>13</v>
      </c>
      <c r="B249" s="289" t="s">
        <v>428</v>
      </c>
      <c r="C249" s="324" t="s">
        <v>471</v>
      </c>
      <c r="D249" s="300"/>
      <c r="E249" s="300"/>
      <c r="F249" s="301"/>
      <c r="G249" s="305">
        <v>8900.721749999999</v>
      </c>
      <c r="H249" s="298">
        <f t="shared" si="5"/>
        <v>8900.721749999999</v>
      </c>
      <c r="I249" s="289"/>
    </row>
    <row r="250" spans="1:9" ht="51.75" customHeight="1">
      <c r="A250" s="289" t="s">
        <v>13</v>
      </c>
      <c r="B250" s="289" t="s">
        <v>428</v>
      </c>
      <c r="C250" s="304" t="s">
        <v>472</v>
      </c>
      <c r="D250" s="300"/>
      <c r="E250" s="300"/>
      <c r="F250" s="301"/>
      <c r="G250" s="305">
        <v>9178.24</v>
      </c>
      <c r="H250" s="298">
        <f t="shared" si="5"/>
        <v>9178.24</v>
      </c>
      <c r="I250" s="289"/>
    </row>
    <row r="251" spans="1:9" ht="51.75" customHeight="1">
      <c r="A251" s="289" t="s">
        <v>13</v>
      </c>
      <c r="B251" s="289" t="s">
        <v>428</v>
      </c>
      <c r="C251" s="304" t="s">
        <v>473</v>
      </c>
      <c r="D251" s="300"/>
      <c r="E251" s="300"/>
      <c r="F251" s="301"/>
      <c r="G251" s="305">
        <v>744.78</v>
      </c>
      <c r="H251" s="298">
        <f t="shared" si="5"/>
        <v>744.78</v>
      </c>
      <c r="I251" s="289"/>
    </row>
    <row r="252" spans="1:9" ht="51.75" customHeight="1">
      <c r="A252" s="289" t="s">
        <v>13</v>
      </c>
      <c r="B252" s="289" t="s">
        <v>428</v>
      </c>
      <c r="C252" s="328" t="s">
        <v>474</v>
      </c>
      <c r="D252" s="300"/>
      <c r="E252" s="300"/>
      <c r="F252" s="301"/>
      <c r="G252" s="305">
        <v>502.99</v>
      </c>
      <c r="H252" s="298">
        <f t="shared" si="5"/>
        <v>502.99</v>
      </c>
      <c r="I252" s="289"/>
    </row>
    <row r="253" spans="1:9" ht="51.75" customHeight="1">
      <c r="A253" s="289" t="s">
        <v>13</v>
      </c>
      <c r="B253" s="289" t="s">
        <v>428</v>
      </c>
      <c r="C253" s="328" t="s">
        <v>475</v>
      </c>
      <c r="D253" s="300"/>
      <c r="E253" s="300"/>
      <c r="F253" s="301"/>
      <c r="G253" s="305">
        <v>4367.37</v>
      </c>
      <c r="H253" s="298">
        <f t="shared" si="5"/>
        <v>4367.37</v>
      </c>
      <c r="I253" s="289"/>
    </row>
    <row r="254" spans="1:9" ht="51.75" customHeight="1">
      <c r="A254" s="289" t="s">
        <v>13</v>
      </c>
      <c r="B254" s="289" t="s">
        <v>428</v>
      </c>
      <c r="C254" s="304" t="s">
        <v>476</v>
      </c>
      <c r="D254" s="300"/>
      <c r="E254" s="300"/>
      <c r="F254" s="301"/>
      <c r="G254" s="298">
        <v>15719.49</v>
      </c>
      <c r="H254" s="298">
        <f t="shared" si="5"/>
        <v>15719.49</v>
      </c>
      <c r="I254" s="289"/>
    </row>
    <row r="255" spans="1:9" ht="51.75" customHeight="1">
      <c r="A255" s="289" t="s">
        <v>13</v>
      </c>
      <c r="B255" s="289" t="s">
        <v>428</v>
      </c>
      <c r="C255" s="304" t="s">
        <v>477</v>
      </c>
      <c r="D255" s="300"/>
      <c r="E255" s="300"/>
      <c r="F255" s="301"/>
      <c r="G255" s="298">
        <v>6470.58</v>
      </c>
      <c r="H255" s="298">
        <f t="shared" si="5"/>
        <v>6470.58</v>
      </c>
      <c r="I255" s="289"/>
    </row>
    <row r="256" spans="1:9" ht="51.75" customHeight="1">
      <c r="A256" s="289" t="s">
        <v>13</v>
      </c>
      <c r="B256" s="289" t="s">
        <v>428</v>
      </c>
      <c r="C256" s="304" t="s">
        <v>478</v>
      </c>
      <c r="D256" s="300"/>
      <c r="E256" s="300"/>
      <c r="F256" s="301"/>
      <c r="G256" s="298">
        <v>1740.43</v>
      </c>
      <c r="H256" s="298">
        <f t="shared" si="5"/>
        <v>1740.43</v>
      </c>
      <c r="I256" s="289"/>
    </row>
    <row r="257" spans="1:9" ht="51.75" customHeight="1">
      <c r="A257" s="289" t="s">
        <v>13</v>
      </c>
      <c r="B257" s="289" t="s">
        <v>428</v>
      </c>
      <c r="C257" s="302" t="s">
        <v>479</v>
      </c>
      <c r="D257" s="300"/>
      <c r="E257" s="300"/>
      <c r="F257" s="301"/>
      <c r="G257" s="298">
        <v>0</v>
      </c>
      <c r="H257" s="298">
        <f t="shared" si="5"/>
        <v>0</v>
      </c>
      <c r="I257" s="289"/>
    </row>
    <row r="258" spans="1:9" ht="51.75" customHeight="1">
      <c r="A258" s="289" t="s">
        <v>13</v>
      </c>
      <c r="B258" s="289" t="s">
        <v>428</v>
      </c>
      <c r="C258" s="299" t="s">
        <v>480</v>
      </c>
      <c r="D258" s="300">
        <v>3627</v>
      </c>
      <c r="E258" s="300">
        <v>1671</v>
      </c>
      <c r="F258" s="301">
        <v>5298</v>
      </c>
      <c r="G258" s="305">
        <v>-5297.71</v>
      </c>
      <c r="H258" s="298">
        <f t="shared" si="5"/>
        <v>0.2899999999999636</v>
      </c>
      <c r="I258" s="289"/>
    </row>
    <row r="259" spans="1:9" ht="51.75" customHeight="1">
      <c r="A259" s="289" t="s">
        <v>13</v>
      </c>
      <c r="B259" s="289" t="s">
        <v>428</v>
      </c>
      <c r="C259" s="299" t="s">
        <v>481</v>
      </c>
      <c r="D259" s="300">
        <v>12949</v>
      </c>
      <c r="E259" s="300">
        <v>18336</v>
      </c>
      <c r="F259" s="301">
        <v>31285</v>
      </c>
      <c r="G259" s="305">
        <v>-31285</v>
      </c>
      <c r="H259" s="298">
        <f t="shared" si="5"/>
        <v>0</v>
      </c>
      <c r="I259" s="289"/>
    </row>
    <row r="260" spans="1:9" ht="51.75" customHeight="1">
      <c r="A260" s="289" t="s">
        <v>13</v>
      </c>
      <c r="B260" s="289" t="s">
        <v>428</v>
      </c>
      <c r="C260" s="299" t="s">
        <v>489</v>
      </c>
      <c r="D260" s="300">
        <v>39028</v>
      </c>
      <c r="E260" s="300">
        <v>18689</v>
      </c>
      <c r="F260" s="301">
        <v>57717</v>
      </c>
      <c r="G260" s="298">
        <v>20188.945238095243</v>
      </c>
      <c r="H260" s="298">
        <f t="shared" si="5"/>
        <v>77905.94523809524</v>
      </c>
      <c r="I260" s="289"/>
    </row>
    <row r="261" spans="1:9" ht="51.75" customHeight="1">
      <c r="A261" s="289" t="s">
        <v>13</v>
      </c>
      <c r="B261" s="289" t="s">
        <v>428</v>
      </c>
      <c r="C261" s="299" t="s">
        <v>490</v>
      </c>
      <c r="D261" s="300">
        <v>12949</v>
      </c>
      <c r="E261" s="300">
        <v>26795</v>
      </c>
      <c r="F261" s="301">
        <v>39744</v>
      </c>
      <c r="G261" s="305">
        <v>-39744.14</v>
      </c>
      <c r="H261" s="298">
        <f t="shared" si="5"/>
        <v>-0.13999999999941792</v>
      </c>
      <c r="I261" s="289"/>
    </row>
    <row r="262" spans="1:9" ht="51.75" customHeight="1">
      <c r="A262" s="289" t="s">
        <v>13</v>
      </c>
      <c r="B262" s="289" t="s">
        <v>428</v>
      </c>
      <c r="C262" s="299" t="s">
        <v>491</v>
      </c>
      <c r="D262" s="300">
        <v>12949</v>
      </c>
      <c r="E262" s="300">
        <v>9706</v>
      </c>
      <c r="F262" s="301">
        <v>22655</v>
      </c>
      <c r="G262" s="298">
        <v>48865.93679000001</v>
      </c>
      <c r="H262" s="298">
        <f t="shared" si="5"/>
        <v>71520.93679</v>
      </c>
      <c r="I262" s="289"/>
    </row>
    <row r="263" spans="1:9" ht="51.75" customHeight="1">
      <c r="A263" s="289" t="s">
        <v>13</v>
      </c>
      <c r="B263" s="289" t="s">
        <v>428</v>
      </c>
      <c r="C263" s="299" t="s">
        <v>492</v>
      </c>
      <c r="D263" s="300">
        <v>12949</v>
      </c>
      <c r="E263" s="300">
        <v>9706</v>
      </c>
      <c r="F263" s="301">
        <v>22655</v>
      </c>
      <c r="G263" s="298">
        <v>21812.46446</v>
      </c>
      <c r="H263" s="298">
        <f t="shared" si="5"/>
        <v>44467.46446</v>
      </c>
      <c r="I263" s="289"/>
    </row>
    <row r="264" spans="1:9" ht="51.75" customHeight="1">
      <c r="A264" s="289" t="s">
        <v>13</v>
      </c>
      <c r="B264" s="289" t="s">
        <v>428</v>
      </c>
      <c r="C264" s="299" t="s">
        <v>387</v>
      </c>
      <c r="D264" s="300">
        <v>12949</v>
      </c>
      <c r="E264" s="300">
        <v>26795</v>
      </c>
      <c r="F264" s="301">
        <v>39744</v>
      </c>
      <c r="G264" s="298">
        <v>0</v>
      </c>
      <c r="H264" s="298">
        <f t="shared" si="5"/>
        <v>39744</v>
      </c>
      <c r="I264" s="289"/>
    </row>
    <row r="265" spans="1:9" ht="51.75" customHeight="1">
      <c r="A265" s="289" t="s">
        <v>13</v>
      </c>
      <c r="B265" s="289" t="s">
        <v>428</v>
      </c>
      <c r="C265" s="299" t="s">
        <v>493</v>
      </c>
      <c r="D265" s="300">
        <v>8633</v>
      </c>
      <c r="E265" s="300">
        <v>3233</v>
      </c>
      <c r="F265" s="301">
        <v>11866</v>
      </c>
      <c r="G265" s="298">
        <v>61659.16</v>
      </c>
      <c r="H265" s="298">
        <f t="shared" si="5"/>
        <v>73525.16</v>
      </c>
      <c r="I265" s="289"/>
    </row>
    <row r="266" spans="1:9" ht="51.75" customHeight="1">
      <c r="A266" s="289" t="s">
        <v>13</v>
      </c>
      <c r="B266" s="289" t="s">
        <v>428</v>
      </c>
      <c r="C266" s="299" t="s">
        <v>494</v>
      </c>
      <c r="D266" s="300">
        <v>22273</v>
      </c>
      <c r="E266" s="300">
        <v>12588</v>
      </c>
      <c r="F266" s="301">
        <v>34861</v>
      </c>
      <c r="G266" s="298">
        <v>0</v>
      </c>
      <c r="H266" s="298">
        <f t="shared" si="5"/>
        <v>34861</v>
      </c>
      <c r="I266" s="289"/>
    </row>
    <row r="267" spans="1:9" ht="51.75" customHeight="1">
      <c r="A267" s="289" t="s">
        <v>13</v>
      </c>
      <c r="B267" s="289" t="s">
        <v>428</v>
      </c>
      <c r="C267" s="299" t="s">
        <v>495</v>
      </c>
      <c r="D267" s="300">
        <v>22273</v>
      </c>
      <c r="E267" s="300">
        <v>10559</v>
      </c>
      <c r="F267" s="301">
        <v>32832</v>
      </c>
      <c r="G267" s="298">
        <v>-8113.75</v>
      </c>
      <c r="H267" s="298">
        <f t="shared" si="5"/>
        <v>24718.25</v>
      </c>
      <c r="I267" s="289"/>
    </row>
    <row r="268" spans="1:9" ht="51.75" customHeight="1">
      <c r="A268" s="289" t="s">
        <v>13</v>
      </c>
      <c r="B268" s="289" t="s">
        <v>428</v>
      </c>
      <c r="C268" s="299" t="s">
        <v>496</v>
      </c>
      <c r="D268" s="300">
        <v>3627</v>
      </c>
      <c r="E268" s="300">
        <v>2132</v>
      </c>
      <c r="F268" s="301">
        <v>5759</v>
      </c>
      <c r="G268" s="305">
        <v>-5759</v>
      </c>
      <c r="H268" s="298">
        <f t="shared" si="5"/>
        <v>0</v>
      </c>
      <c r="I268" s="289"/>
    </row>
    <row r="269" spans="1:9" ht="51.75" customHeight="1">
      <c r="A269" s="289" t="s">
        <v>13</v>
      </c>
      <c r="B269" s="289" t="s">
        <v>428</v>
      </c>
      <c r="C269" s="319" t="s">
        <v>497</v>
      </c>
      <c r="D269" s="300">
        <v>4317</v>
      </c>
      <c r="E269" s="300">
        <v>4048</v>
      </c>
      <c r="F269" s="301">
        <v>8365</v>
      </c>
      <c r="G269" s="305">
        <v>-81.20979999999872</v>
      </c>
      <c r="H269" s="298">
        <f t="shared" si="5"/>
        <v>8283.790200000001</v>
      </c>
      <c r="I269" s="289"/>
    </row>
    <row r="270" spans="1:9" ht="51.75" customHeight="1">
      <c r="A270" s="289" t="s">
        <v>13</v>
      </c>
      <c r="B270" s="289" t="s">
        <v>428</v>
      </c>
      <c r="C270" s="319" t="s">
        <v>498</v>
      </c>
      <c r="D270" s="300">
        <v>8633</v>
      </c>
      <c r="E270" s="300">
        <v>2714</v>
      </c>
      <c r="F270" s="301">
        <v>11347</v>
      </c>
      <c r="G270" s="298">
        <v>5726.4444650000005</v>
      </c>
      <c r="H270" s="298">
        <f t="shared" si="5"/>
        <v>17073.444465</v>
      </c>
      <c r="I270" s="289"/>
    </row>
    <row r="271" spans="1:9" ht="51.75" customHeight="1">
      <c r="A271" s="289" t="s">
        <v>13</v>
      </c>
      <c r="B271" s="289" t="s">
        <v>428</v>
      </c>
      <c r="C271" s="327" t="s">
        <v>499</v>
      </c>
      <c r="D271" s="306">
        <v>0</v>
      </c>
      <c r="E271" s="306">
        <v>0</v>
      </c>
      <c r="F271" s="307">
        <v>0</v>
      </c>
      <c r="G271" s="308">
        <v>0</v>
      </c>
      <c r="H271" s="298">
        <f t="shared" si="5"/>
        <v>0</v>
      </c>
      <c r="I271" s="289"/>
    </row>
    <row r="272" spans="1:9" ht="51.75" customHeight="1">
      <c r="A272" s="289" t="s">
        <v>13</v>
      </c>
      <c r="B272" s="289" t="s">
        <v>428</v>
      </c>
      <c r="C272" s="319" t="s">
        <v>449</v>
      </c>
      <c r="D272" s="300">
        <v>2176</v>
      </c>
      <c r="E272" s="300">
        <v>924</v>
      </c>
      <c r="F272" s="301">
        <v>3100</v>
      </c>
      <c r="G272" s="298">
        <v>0</v>
      </c>
      <c r="H272" s="298">
        <f aca="true" t="shared" si="6" ref="H272:H285">F272+G272</f>
        <v>3100</v>
      </c>
      <c r="I272" s="289"/>
    </row>
    <row r="273" spans="1:9" ht="51.75" customHeight="1">
      <c r="A273" s="289" t="s">
        <v>13</v>
      </c>
      <c r="B273" s="289" t="s">
        <v>428</v>
      </c>
      <c r="C273" s="294" t="s">
        <v>500</v>
      </c>
      <c r="D273" s="300"/>
      <c r="E273" s="300"/>
      <c r="F273" s="301"/>
      <c r="G273" s="298">
        <v>47825</v>
      </c>
      <c r="H273" s="298">
        <f t="shared" si="6"/>
        <v>47825</v>
      </c>
      <c r="I273" s="289"/>
    </row>
    <row r="274" spans="1:9" ht="51.75" customHeight="1">
      <c r="A274" s="289" t="s">
        <v>13</v>
      </c>
      <c r="B274" s="289" t="s">
        <v>428</v>
      </c>
      <c r="C274" s="319" t="s">
        <v>501</v>
      </c>
      <c r="D274" s="300">
        <v>0</v>
      </c>
      <c r="E274" s="300">
        <v>0</v>
      </c>
      <c r="F274" s="301">
        <v>0</v>
      </c>
      <c r="G274" s="298">
        <v>0</v>
      </c>
      <c r="H274" s="298">
        <f t="shared" si="6"/>
        <v>0</v>
      </c>
      <c r="I274" s="289"/>
    </row>
    <row r="275" spans="1:9" ht="51.75" customHeight="1">
      <c r="A275" s="289" t="s">
        <v>13</v>
      </c>
      <c r="B275" s="289" t="s">
        <v>428</v>
      </c>
      <c r="C275" s="319" t="s">
        <v>502</v>
      </c>
      <c r="D275" s="300">
        <v>10881</v>
      </c>
      <c r="E275" s="300">
        <v>18807</v>
      </c>
      <c r="F275" s="301">
        <v>29688</v>
      </c>
      <c r="G275" s="298">
        <v>0</v>
      </c>
      <c r="H275" s="298">
        <f t="shared" si="6"/>
        <v>29688</v>
      </c>
      <c r="I275" s="289"/>
    </row>
    <row r="276" spans="1:9" ht="51.75" customHeight="1">
      <c r="A276" s="289" t="s">
        <v>13</v>
      </c>
      <c r="B276" s="289" t="s">
        <v>428</v>
      </c>
      <c r="C276" s="323" t="s">
        <v>503</v>
      </c>
      <c r="D276" s="300">
        <v>10881</v>
      </c>
      <c r="E276" s="300">
        <v>18807</v>
      </c>
      <c r="F276" s="301">
        <v>29688</v>
      </c>
      <c r="G276" s="298">
        <v>0</v>
      </c>
      <c r="H276" s="298">
        <f t="shared" si="6"/>
        <v>29688</v>
      </c>
      <c r="I276" s="289"/>
    </row>
    <row r="277" spans="1:9" ht="51.75" customHeight="1">
      <c r="A277" s="289" t="s">
        <v>13</v>
      </c>
      <c r="B277" s="289" t="s">
        <v>428</v>
      </c>
      <c r="C277" s="323" t="s">
        <v>504</v>
      </c>
      <c r="D277" s="300">
        <v>8633</v>
      </c>
      <c r="E277" s="300">
        <v>7940</v>
      </c>
      <c r="F277" s="301">
        <v>16573</v>
      </c>
      <c r="G277" s="298">
        <v>0</v>
      </c>
      <c r="H277" s="298">
        <f t="shared" si="6"/>
        <v>16573</v>
      </c>
      <c r="I277" s="289"/>
    </row>
    <row r="278" spans="1:9" ht="51.75" customHeight="1">
      <c r="A278" s="289" t="s">
        <v>13</v>
      </c>
      <c r="B278" s="289" t="s">
        <v>428</v>
      </c>
      <c r="C278" s="323" t="s">
        <v>505</v>
      </c>
      <c r="D278" s="300">
        <v>0</v>
      </c>
      <c r="E278" s="300">
        <v>20000</v>
      </c>
      <c r="F278" s="301">
        <v>20000</v>
      </c>
      <c r="G278" s="298">
        <v>0</v>
      </c>
      <c r="H278" s="298">
        <f t="shared" si="6"/>
        <v>20000</v>
      </c>
      <c r="I278" s="289"/>
    </row>
    <row r="279" spans="1:9" ht="51.75" customHeight="1">
      <c r="A279" s="289" t="s">
        <v>13</v>
      </c>
      <c r="B279" s="289" t="s">
        <v>428</v>
      </c>
      <c r="C279" s="323" t="s">
        <v>506</v>
      </c>
      <c r="D279" s="300">
        <v>7944</v>
      </c>
      <c r="E279" s="300">
        <v>31750</v>
      </c>
      <c r="F279" s="301">
        <v>39694</v>
      </c>
      <c r="G279" s="298">
        <v>0</v>
      </c>
      <c r="H279" s="298">
        <f t="shared" si="6"/>
        <v>39694</v>
      </c>
      <c r="I279" s="289"/>
    </row>
    <row r="280" spans="1:9" ht="51.75" customHeight="1">
      <c r="A280" s="289" t="s">
        <v>13</v>
      </c>
      <c r="B280" s="289" t="s">
        <v>428</v>
      </c>
      <c r="C280" s="331" t="s">
        <v>507</v>
      </c>
      <c r="D280" s="300"/>
      <c r="E280" s="300"/>
      <c r="F280" s="301"/>
      <c r="G280" s="298">
        <v>29290.09092</v>
      </c>
      <c r="H280" s="298">
        <f t="shared" si="6"/>
        <v>29290.09092</v>
      </c>
      <c r="I280" s="289"/>
    </row>
    <row r="281" spans="1:9" ht="51.75" customHeight="1">
      <c r="A281" s="289" t="s">
        <v>13</v>
      </c>
      <c r="B281" s="289" t="s">
        <v>428</v>
      </c>
      <c r="C281" s="325" t="s">
        <v>508</v>
      </c>
      <c r="D281" s="300"/>
      <c r="E281" s="300"/>
      <c r="F281" s="301"/>
      <c r="G281" s="298">
        <v>1833.8</v>
      </c>
      <c r="H281" s="298">
        <f t="shared" si="6"/>
        <v>1833.8</v>
      </c>
      <c r="I281" s="289"/>
    </row>
    <row r="282" spans="1:9" ht="51.75" customHeight="1">
      <c r="A282" s="289" t="s">
        <v>13</v>
      </c>
      <c r="B282" s="289" t="s">
        <v>428</v>
      </c>
      <c r="C282" s="325" t="s">
        <v>509</v>
      </c>
      <c r="D282" s="300"/>
      <c r="E282" s="300"/>
      <c r="F282" s="301"/>
      <c r="G282" s="298">
        <v>86140.25</v>
      </c>
      <c r="H282" s="298">
        <f t="shared" si="6"/>
        <v>86140.25</v>
      </c>
      <c r="I282" s="289"/>
    </row>
    <row r="283" spans="1:9" ht="51.75" customHeight="1">
      <c r="A283" s="289" t="s">
        <v>13</v>
      </c>
      <c r="B283" s="289" t="s">
        <v>428</v>
      </c>
      <c r="C283" s="325" t="s">
        <v>510</v>
      </c>
      <c r="D283" s="300"/>
      <c r="E283" s="300"/>
      <c r="F283" s="301"/>
      <c r="G283" s="298">
        <v>6384.019110000001</v>
      </c>
      <c r="H283" s="298">
        <f t="shared" si="6"/>
        <v>6384.019110000001</v>
      </c>
      <c r="I283" s="289"/>
    </row>
    <row r="284" spans="1:9" ht="51.75" customHeight="1">
      <c r="A284" s="289" t="s">
        <v>13</v>
      </c>
      <c r="B284" s="289" t="s">
        <v>428</v>
      </c>
      <c r="C284" s="325" t="s">
        <v>511</v>
      </c>
      <c r="D284" s="300"/>
      <c r="E284" s="300"/>
      <c r="F284" s="301"/>
      <c r="G284" s="298">
        <v>2178.0267299999996</v>
      </c>
      <c r="H284" s="298">
        <f t="shared" si="6"/>
        <v>2178.0267299999996</v>
      </c>
      <c r="I284" s="289"/>
    </row>
    <row r="285" spans="1:9" ht="51.75" customHeight="1">
      <c r="A285" s="289" t="s">
        <v>13</v>
      </c>
      <c r="B285" s="289" t="s">
        <v>428</v>
      </c>
      <c r="C285" s="304" t="s">
        <v>512</v>
      </c>
      <c r="D285" s="300"/>
      <c r="E285" s="300"/>
      <c r="F285" s="301"/>
      <c r="G285" s="298">
        <v>2619.2572800000003</v>
      </c>
      <c r="H285" s="298">
        <f t="shared" si="6"/>
        <v>2619.2572800000003</v>
      </c>
      <c r="I285" s="289"/>
    </row>
    <row r="286" spans="1:9" ht="15.75">
      <c r="A286" s="289"/>
      <c r="B286" s="289"/>
      <c r="C286" s="291"/>
      <c r="D286" s="292"/>
      <c r="E286" s="292"/>
      <c r="F286" s="321"/>
      <c r="G286" s="293"/>
      <c r="H286" s="321"/>
      <c r="I286" s="290"/>
    </row>
    <row r="287" spans="1:9" ht="15.75">
      <c r="A287" s="419" t="s">
        <v>778</v>
      </c>
      <c r="B287" s="289"/>
      <c r="C287" s="291"/>
      <c r="D287" s="292"/>
      <c r="E287" s="292"/>
      <c r="F287" s="321"/>
      <c r="G287" s="293"/>
      <c r="H287" s="321"/>
      <c r="I287" s="290"/>
    </row>
    <row r="288" spans="1:9" ht="15">
      <c r="A288" s="289" t="s">
        <v>6</v>
      </c>
      <c r="B288" s="289" t="s">
        <v>598</v>
      </c>
      <c r="C288" s="304" t="s">
        <v>777</v>
      </c>
      <c r="D288" s="300"/>
      <c r="E288" s="300"/>
      <c r="F288" s="301"/>
      <c r="G288" s="298"/>
      <c r="H288" s="298">
        <f>'Cost Assignment'!F91*1000</f>
        <v>683175.69</v>
      </c>
      <c r="I288" s="290"/>
    </row>
    <row r="289" spans="1:9" ht="15.75">
      <c r="A289" s="289"/>
      <c r="B289" s="289"/>
      <c r="C289" s="291"/>
      <c r="D289" s="292"/>
      <c r="E289" s="292"/>
      <c r="F289" s="321"/>
      <c r="G289" s="293"/>
      <c r="H289" s="321">
        <f>SUM(H5:H288)/1000</f>
        <v>10817.378450988545</v>
      </c>
      <c r="I289" s="290"/>
    </row>
    <row r="290" spans="1:9" ht="15.75">
      <c r="A290" s="289"/>
      <c r="B290" s="289"/>
      <c r="C290" s="291"/>
      <c r="D290" s="292"/>
      <c r="E290" s="292"/>
      <c r="F290" s="321"/>
      <c r="G290" s="293"/>
      <c r="H290" s="321"/>
      <c r="I290" s="290"/>
    </row>
    <row r="291" spans="1:9" ht="15.75">
      <c r="A291" s="289"/>
      <c r="B291" s="421" t="s">
        <v>711</v>
      </c>
      <c r="D291" s="292"/>
      <c r="E291" s="292"/>
      <c r="F291" s="321"/>
      <c r="G291" s="293"/>
      <c r="I291" s="290"/>
    </row>
    <row r="292" spans="1:9" ht="15.75">
      <c r="A292" s="289"/>
      <c r="B292" s="289"/>
      <c r="C292" s="291" t="s">
        <v>712</v>
      </c>
      <c r="D292" s="292"/>
      <c r="E292" s="292"/>
      <c r="F292" s="321"/>
      <c r="G292" s="293"/>
      <c r="H292" s="420">
        <f>SUM(H122:H149)/1000</f>
        <v>2182.7780367299997</v>
      </c>
      <c r="I292" s="290"/>
    </row>
    <row r="293" spans="1:9" ht="15.75">
      <c r="A293" s="289"/>
      <c r="B293" s="289"/>
      <c r="C293" s="291" t="s">
        <v>713</v>
      </c>
      <c r="D293" s="292"/>
      <c r="E293" s="292"/>
      <c r="F293" s="321"/>
      <c r="G293" s="293"/>
      <c r="H293" s="420">
        <f>SUM(H176:H199)/1000</f>
        <v>1274.7880820641967</v>
      </c>
      <c r="I293" s="290"/>
    </row>
    <row r="294" spans="1:9" ht="15.75">
      <c r="A294" s="289"/>
      <c r="B294" s="289"/>
      <c r="C294" s="291" t="s">
        <v>714</v>
      </c>
      <c r="D294" s="292"/>
      <c r="E294" s="292"/>
      <c r="F294" s="321"/>
      <c r="G294" s="293"/>
      <c r="H294" s="420">
        <f>SUM(H150:H175)/1000+H288/1000</f>
        <v>1255.3931265901133</v>
      </c>
      <c r="I294" s="290"/>
    </row>
    <row r="295" spans="1:9" ht="15.75">
      <c r="A295" s="289"/>
      <c r="B295" s="289"/>
      <c r="C295" s="291" t="s">
        <v>715</v>
      </c>
      <c r="D295" s="292"/>
      <c r="E295" s="292"/>
      <c r="F295" s="321"/>
      <c r="G295" s="293"/>
      <c r="H295" s="420">
        <f>SUM(H4:H27)/1000</f>
        <v>1082.7991393099526</v>
      </c>
      <c r="I295" s="290"/>
    </row>
    <row r="296" spans="1:9" ht="15.75">
      <c r="A296" s="289"/>
      <c r="B296" s="289"/>
      <c r="C296" s="291" t="s">
        <v>716</v>
      </c>
      <c r="D296" s="292"/>
      <c r="E296" s="292"/>
      <c r="F296" s="321"/>
      <c r="G296" s="293"/>
      <c r="H296" s="420">
        <f>SUM(H28:H121)/1000</f>
        <v>2041.2537613499999</v>
      </c>
      <c r="I296" s="290"/>
    </row>
    <row r="297" spans="1:9" ht="15.75">
      <c r="A297" s="289"/>
      <c r="B297" s="289"/>
      <c r="C297" s="320" t="s">
        <v>717</v>
      </c>
      <c r="D297" s="292"/>
      <c r="E297" s="292"/>
      <c r="F297" s="321"/>
      <c r="G297" s="293"/>
      <c r="H297" s="322">
        <f>SUM(H292:H296)</f>
        <v>7837.012146044262</v>
      </c>
      <c r="I297" s="290"/>
    </row>
    <row r="298" spans="1:9" ht="15.75">
      <c r="A298" s="289"/>
      <c r="B298" s="289"/>
      <c r="C298" s="291"/>
      <c r="D298" s="292"/>
      <c r="E298" s="292"/>
      <c r="F298" s="321"/>
      <c r="G298" s="293"/>
      <c r="H298" s="321"/>
      <c r="I298" s="290"/>
    </row>
    <row r="299" spans="1:9" ht="15.75">
      <c r="A299" s="290"/>
      <c r="B299" s="290"/>
      <c r="C299" s="291" t="s">
        <v>718</v>
      </c>
      <c r="D299" s="292"/>
      <c r="E299" s="292"/>
      <c r="F299" s="321"/>
      <c r="G299" s="293"/>
      <c r="H299" s="420">
        <f>SUM(H200:H206)/1000</f>
        <v>1728.3114693261905</v>
      </c>
      <c r="I299" s="290"/>
    </row>
    <row r="300" spans="1:9" ht="15.75">
      <c r="A300" s="290"/>
      <c r="B300" s="290"/>
      <c r="C300" s="291" t="s">
        <v>719</v>
      </c>
      <c r="D300" s="292"/>
      <c r="E300" s="292"/>
      <c r="F300" s="321"/>
      <c r="G300" s="293"/>
      <c r="H300" s="420">
        <f>SUM(H208:H285)/1000</f>
        <v>1252.0548356180957</v>
      </c>
      <c r="I300" s="290"/>
    </row>
    <row r="301" spans="1:9" ht="15.75">
      <c r="A301" s="290"/>
      <c r="B301" s="290"/>
      <c r="C301" s="320" t="s">
        <v>720</v>
      </c>
      <c r="D301" s="292"/>
      <c r="E301" s="292"/>
      <c r="F301" s="321"/>
      <c r="G301" s="293"/>
      <c r="H301" s="322">
        <f>H300+H299</f>
        <v>2980.366304944286</v>
      </c>
      <c r="I301" s="290"/>
    </row>
    <row r="303" spans="3:8" ht="15.75">
      <c r="C303" s="320" t="s">
        <v>779</v>
      </c>
      <c r="H303" s="321">
        <f>H297+H301</f>
        <v>10817.378450988548</v>
      </c>
    </row>
    <row r="305" spans="3:8" ht="12.75">
      <c r="C305" s="422" t="s">
        <v>776</v>
      </c>
      <c r="H305" s="412">
        <f>H303-H289</f>
        <v>0</v>
      </c>
    </row>
  </sheetData>
  <sheetProtection/>
  <conditionalFormatting sqref="G3:G301">
    <cfRule type="cellIs" priority="3" dxfId="2" operator="greaterThan" stopIfTrue="1">
      <formula>1</formula>
    </cfRule>
    <cfRule type="cellIs" priority="4" dxfId="2" operator="lessThan" stopIfTrue="1">
      <formula>0</formula>
    </cfRule>
  </conditionalFormatting>
  <conditionalFormatting sqref="H305">
    <cfRule type="cellIs" priority="1" dxfId="0" operator="notEqual">
      <formula>0</formula>
    </cfRule>
  </conditionalFormatting>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4"/>
    <pageSetUpPr fitToPage="1"/>
  </sheetPr>
  <dimension ref="A1:IU70"/>
  <sheetViews>
    <sheetView zoomScale="90" zoomScaleNormal="90" zoomScalePageLayoutView="0" workbookViewId="0" topLeftCell="A1">
      <selection activeCell="A1" sqref="A1"/>
    </sheetView>
  </sheetViews>
  <sheetFormatPr defaultColWidth="9.140625" defaultRowHeight="12.75"/>
  <cols>
    <col min="1" max="1" width="2.8515625" style="109" customWidth="1"/>
    <col min="2" max="2" width="49.00390625" style="109" customWidth="1"/>
    <col min="3" max="3" width="11.8515625" style="110" hidden="1" customWidth="1"/>
    <col min="4" max="4" width="12.00390625" style="114" bestFit="1" customWidth="1"/>
    <col min="5" max="5" width="14.8515625" style="151" customWidth="1"/>
    <col min="6" max="6" width="13.140625" style="114" bestFit="1" customWidth="1"/>
    <col min="7" max="7" width="13.7109375" style="114" customWidth="1"/>
    <col min="8" max="8" width="12.7109375" style="114" customWidth="1"/>
    <col min="9" max="9" width="12.421875" style="114" customWidth="1"/>
    <col min="10" max="10" width="13.8515625" style="151" customWidth="1"/>
    <col min="11" max="11" width="10.7109375" style="145" customWidth="1"/>
    <col min="12" max="14" width="14.421875" style="145" customWidth="1"/>
    <col min="15" max="15" width="12.28125" style="145" customWidth="1"/>
    <col min="16" max="16" width="17.421875" style="145" bestFit="1" customWidth="1"/>
    <col min="17" max="17" width="12.7109375" style="145" customWidth="1"/>
    <col min="18" max="18" width="13.8515625" style="145" bestFit="1" customWidth="1"/>
    <col min="19" max="19" width="34.7109375" style="109" customWidth="1"/>
    <col min="20" max="20" width="22.140625" style="109" customWidth="1"/>
    <col min="21" max="21" width="11.28125" style="151" hidden="1" customWidth="1"/>
    <col min="22" max="50" width="9.140625" style="109" hidden="1" customWidth="1"/>
    <col min="51" max="58" width="0" style="109" hidden="1" customWidth="1"/>
    <col min="59" max="16384" width="9.140625" style="109" customWidth="1"/>
  </cols>
  <sheetData>
    <row r="1" spans="2:18" ht="12.75">
      <c r="B1" s="401" t="s">
        <v>770</v>
      </c>
      <c r="D1" s="111"/>
      <c r="E1" s="112" t="s">
        <v>328</v>
      </c>
      <c r="F1" s="113"/>
      <c r="J1" s="115"/>
      <c r="K1" s="116"/>
      <c r="L1" s="116"/>
      <c r="M1" s="116"/>
      <c r="N1" s="116"/>
      <c r="O1" s="116"/>
      <c r="P1" s="116"/>
      <c r="Q1" s="116"/>
      <c r="R1" s="109"/>
    </row>
    <row r="2" spans="2:19" ht="12.75">
      <c r="B2" s="117" t="s">
        <v>774</v>
      </c>
      <c r="D2" s="111"/>
      <c r="E2" s="111"/>
      <c r="F2" s="113"/>
      <c r="J2" s="115"/>
      <c r="K2" s="116"/>
      <c r="L2" s="116"/>
      <c r="M2" s="116"/>
      <c r="N2" s="116"/>
      <c r="O2" s="116"/>
      <c r="P2" s="116"/>
      <c r="Q2" s="116"/>
      <c r="R2" s="116" t="s">
        <v>36</v>
      </c>
      <c r="S2" s="118" t="s">
        <v>37</v>
      </c>
    </row>
    <row r="3" spans="2:19" ht="12.75" customHeight="1">
      <c r="B3" s="119"/>
      <c r="C3" s="120"/>
      <c r="D3" s="121"/>
      <c r="E3" s="121"/>
      <c r="F3" s="113"/>
      <c r="G3" s="435" t="s">
        <v>38</v>
      </c>
      <c r="H3" s="435"/>
      <c r="I3" s="435"/>
      <c r="J3" s="435"/>
      <c r="K3" s="435"/>
      <c r="L3" s="435"/>
      <c r="M3" s="435"/>
      <c r="N3" s="435"/>
      <c r="O3" s="435"/>
      <c r="P3" s="435"/>
      <c r="Q3" s="435"/>
      <c r="R3" s="435"/>
      <c r="S3" s="118" t="s">
        <v>39</v>
      </c>
    </row>
    <row r="4" spans="2:19" ht="12.75" customHeight="1">
      <c r="B4" s="117" t="s">
        <v>329</v>
      </c>
      <c r="C4" s="120"/>
      <c r="D4" s="111"/>
      <c r="E4" s="111"/>
      <c r="F4" s="113"/>
      <c r="G4" s="435" t="s">
        <v>40</v>
      </c>
      <c r="H4" s="435"/>
      <c r="I4" s="435"/>
      <c r="J4" s="435"/>
      <c r="K4" s="435"/>
      <c r="L4" s="435"/>
      <c r="M4" s="435"/>
      <c r="N4" s="435"/>
      <c r="O4" s="435"/>
      <c r="P4" s="435"/>
      <c r="Q4" s="435"/>
      <c r="R4" s="435"/>
      <c r="S4" s="122">
        <v>39343</v>
      </c>
    </row>
    <row r="5" spans="2:19" ht="25.5">
      <c r="B5" s="123" t="s">
        <v>330</v>
      </c>
      <c r="D5" s="121"/>
      <c r="E5" s="121"/>
      <c r="F5" s="113"/>
      <c r="J5" s="435" t="s">
        <v>41</v>
      </c>
      <c r="K5" s="435"/>
      <c r="L5" s="435"/>
      <c r="M5" s="435"/>
      <c r="N5" s="435"/>
      <c r="O5" s="435"/>
      <c r="P5" s="435"/>
      <c r="Q5" s="435"/>
      <c r="R5" s="435"/>
      <c r="S5" s="124">
        <v>3</v>
      </c>
    </row>
    <row r="6" spans="2:19" ht="12.75" customHeight="1">
      <c r="B6" s="125" t="s">
        <v>331</v>
      </c>
      <c r="D6" s="121"/>
      <c r="E6" s="121"/>
      <c r="F6" s="113"/>
      <c r="J6" s="115"/>
      <c r="K6" s="116"/>
      <c r="L6" s="116"/>
      <c r="M6" s="116"/>
      <c r="N6" s="116"/>
      <c r="O6" s="116"/>
      <c r="P6" s="116"/>
      <c r="Q6" s="435" t="s">
        <v>42</v>
      </c>
      <c r="R6" s="435"/>
      <c r="S6" s="122"/>
    </row>
    <row r="7" spans="2:19" ht="12.75" customHeight="1">
      <c r="B7" s="119"/>
      <c r="D7" s="121"/>
      <c r="E7" s="121"/>
      <c r="F7" s="113"/>
      <c r="J7" s="435" t="s">
        <v>43</v>
      </c>
      <c r="K7" s="435"/>
      <c r="L7" s="435"/>
      <c r="M7" s="435"/>
      <c r="N7" s="435"/>
      <c r="O7" s="435"/>
      <c r="P7" s="435"/>
      <c r="Q7" s="435"/>
      <c r="R7" s="435"/>
      <c r="S7" s="118" t="s">
        <v>44</v>
      </c>
    </row>
    <row r="8" spans="2:19" ht="13.5" thickBot="1">
      <c r="B8" s="126"/>
      <c r="D8" s="126"/>
      <c r="E8" s="126"/>
      <c r="F8" s="127"/>
      <c r="G8" s="128"/>
      <c r="H8" s="129"/>
      <c r="I8" s="129"/>
      <c r="J8" s="435" t="s">
        <v>332</v>
      </c>
      <c r="K8" s="435"/>
      <c r="L8" s="435"/>
      <c r="M8" s="435"/>
      <c r="N8" s="435"/>
      <c r="O8" s="435"/>
      <c r="P8" s="435"/>
      <c r="Q8" s="435"/>
      <c r="R8" s="435"/>
      <c r="S8" s="122">
        <v>38880</v>
      </c>
    </row>
    <row r="9" spans="1:19" ht="13.5" thickTop="1">
      <c r="A9" s="130"/>
      <c r="B9" s="131" t="s">
        <v>333</v>
      </c>
      <c r="C9" s="132"/>
      <c r="D9" s="133" t="s">
        <v>334</v>
      </c>
      <c r="E9" s="134" t="s">
        <v>422</v>
      </c>
      <c r="F9" s="135" t="s">
        <v>423</v>
      </c>
      <c r="G9" s="136"/>
      <c r="H9" s="137"/>
      <c r="I9" s="137"/>
      <c r="J9" s="137"/>
      <c r="K9" s="138"/>
      <c r="L9" s="139"/>
      <c r="M9" s="139"/>
      <c r="N9" s="139"/>
      <c r="O9" s="140"/>
      <c r="P9" s="140"/>
      <c r="Q9" s="140"/>
      <c r="R9" s="140"/>
      <c r="S9" s="141"/>
    </row>
    <row r="10" spans="1:19" ht="12.75">
      <c r="A10" s="130"/>
      <c r="B10" s="142"/>
      <c r="C10" s="143"/>
      <c r="D10" s="109"/>
      <c r="E10" s="109"/>
      <c r="F10" s="113"/>
      <c r="G10" s="136" t="s">
        <v>335</v>
      </c>
      <c r="H10" s="144"/>
      <c r="I10" s="144"/>
      <c r="J10" s="115"/>
      <c r="K10" s="116"/>
      <c r="L10" s="116"/>
      <c r="M10" s="116"/>
      <c r="N10" s="116"/>
      <c r="O10" s="116"/>
      <c r="P10" s="116"/>
      <c r="S10" s="146"/>
    </row>
    <row r="11" spans="1:19" ht="12.75">
      <c r="A11" s="130"/>
      <c r="B11" s="147" t="s">
        <v>336</v>
      </c>
      <c r="C11" s="143"/>
      <c r="D11" s="148"/>
      <c r="E11" s="149">
        <v>0</v>
      </c>
      <c r="F11" s="113"/>
      <c r="G11" s="150" t="s">
        <v>337</v>
      </c>
      <c r="H11" s="150"/>
      <c r="I11" s="150"/>
      <c r="O11" s="152">
        <v>0.03</v>
      </c>
      <c r="P11" s="152"/>
      <c r="S11" s="153"/>
    </row>
    <row r="12" spans="1:19" ht="12" customHeight="1">
      <c r="A12" s="130"/>
      <c r="B12" s="147" t="s">
        <v>338</v>
      </c>
      <c r="C12" s="143"/>
      <c r="D12" s="149" t="s">
        <v>421</v>
      </c>
      <c r="E12" s="154">
        <v>1720</v>
      </c>
      <c r="F12" s="113"/>
      <c r="G12" s="150" t="s">
        <v>339</v>
      </c>
      <c r="H12" s="150"/>
      <c r="I12" s="150"/>
      <c r="O12" s="152">
        <v>0.08</v>
      </c>
      <c r="P12" s="152"/>
      <c r="Q12" s="116"/>
      <c r="S12" s="146"/>
    </row>
    <row r="13" spans="1:19" ht="12" customHeight="1">
      <c r="A13" s="130"/>
      <c r="B13" s="147" t="s">
        <v>338</v>
      </c>
      <c r="C13" s="143"/>
      <c r="D13" s="149" t="s">
        <v>421</v>
      </c>
      <c r="E13" s="154">
        <v>1720</v>
      </c>
      <c r="F13" s="113"/>
      <c r="G13" s="150" t="s">
        <v>340</v>
      </c>
      <c r="H13" s="150"/>
      <c r="I13" s="150"/>
      <c r="O13" s="152">
        <v>0.05</v>
      </c>
      <c r="P13" s="152"/>
      <c r="Q13" s="116"/>
      <c r="S13" s="146"/>
    </row>
    <row r="14" spans="1:19" ht="12.75">
      <c r="A14" s="130"/>
      <c r="B14" s="142"/>
      <c r="C14" s="143"/>
      <c r="D14" s="155"/>
      <c r="E14" s="155"/>
      <c r="F14" s="113"/>
      <c r="G14" s="150" t="s">
        <v>341</v>
      </c>
      <c r="H14" s="150"/>
      <c r="I14" s="150"/>
      <c r="O14" s="152">
        <v>0.03</v>
      </c>
      <c r="P14" s="152"/>
      <c r="Q14" s="156"/>
      <c r="S14" s="146"/>
    </row>
    <row r="15" spans="1:19" ht="12.75">
      <c r="A15" s="130"/>
      <c r="B15" s="142"/>
      <c r="C15" s="143"/>
      <c r="D15" s="155"/>
      <c r="E15" s="155"/>
      <c r="F15" s="113"/>
      <c r="G15" s="150" t="s">
        <v>342</v>
      </c>
      <c r="H15" s="150"/>
      <c r="I15" s="150"/>
      <c r="O15" s="152">
        <v>0.03</v>
      </c>
      <c r="P15" s="152"/>
      <c r="Q15" s="156"/>
      <c r="S15" s="146"/>
    </row>
    <row r="16" spans="1:19" ht="12.75">
      <c r="A16" s="130"/>
      <c r="B16" s="142"/>
      <c r="C16" s="143"/>
      <c r="D16" s="155"/>
      <c r="E16" s="155"/>
      <c r="F16" s="113"/>
      <c r="G16" s="150" t="s">
        <v>343</v>
      </c>
      <c r="H16" s="150"/>
      <c r="I16" s="150"/>
      <c r="K16" s="109"/>
      <c r="L16" s="109"/>
      <c r="M16" s="109"/>
      <c r="N16" s="109"/>
      <c r="O16" s="152">
        <v>0.25</v>
      </c>
      <c r="P16" s="152"/>
      <c r="Q16" s="116"/>
      <c r="R16" s="157"/>
      <c r="S16" s="146"/>
    </row>
    <row r="17" spans="1:19" ht="12.75">
      <c r="A17" s="130"/>
      <c r="B17" s="142"/>
      <c r="C17" s="143"/>
      <c r="D17" s="121"/>
      <c r="E17" s="121"/>
      <c r="F17" s="113"/>
      <c r="G17" s="150" t="s">
        <v>344</v>
      </c>
      <c r="H17" s="150"/>
      <c r="I17" s="150"/>
      <c r="K17" s="109"/>
      <c r="L17" s="109"/>
      <c r="M17" s="109"/>
      <c r="N17" s="109"/>
      <c r="O17" s="152">
        <v>0.08</v>
      </c>
      <c r="P17" s="152"/>
      <c r="Q17" s="116"/>
      <c r="S17" s="146"/>
    </row>
    <row r="18" spans="1:19" ht="12.75">
      <c r="A18" s="130"/>
      <c r="B18" s="142"/>
      <c r="C18" s="143"/>
      <c r="D18" s="109"/>
      <c r="E18" s="109"/>
      <c r="G18" s="150" t="s">
        <v>345</v>
      </c>
      <c r="H18" s="150"/>
      <c r="I18" s="150"/>
      <c r="K18" s="109"/>
      <c r="L18" s="109"/>
      <c r="M18" s="109"/>
      <c r="N18" s="109"/>
      <c r="O18" s="152">
        <v>0.15</v>
      </c>
      <c r="P18" s="152"/>
      <c r="Q18" s="116"/>
      <c r="S18" s="146"/>
    </row>
    <row r="19" spans="1:19" ht="12.75">
      <c r="A19" s="130"/>
      <c r="B19" s="142"/>
      <c r="C19" s="143"/>
      <c r="D19" s="109"/>
      <c r="E19" s="109"/>
      <c r="G19" s="150" t="s">
        <v>346</v>
      </c>
      <c r="H19" s="150"/>
      <c r="I19" s="150"/>
      <c r="K19" s="109"/>
      <c r="L19" s="109"/>
      <c r="M19" s="109"/>
      <c r="N19" s="109"/>
      <c r="O19" s="152">
        <v>0.15</v>
      </c>
      <c r="P19" s="152"/>
      <c r="Q19" s="116"/>
      <c r="S19" s="146"/>
    </row>
    <row r="20" spans="1:19" ht="12.75">
      <c r="A20" s="130"/>
      <c r="B20" s="142"/>
      <c r="C20" s="143"/>
      <c r="D20" s="109"/>
      <c r="E20" s="109"/>
      <c r="G20" s="136" t="s">
        <v>347</v>
      </c>
      <c r="H20" s="136"/>
      <c r="I20" s="136"/>
      <c r="K20" s="109"/>
      <c r="L20" s="109"/>
      <c r="M20" s="109"/>
      <c r="N20" s="109"/>
      <c r="O20" s="109"/>
      <c r="P20" s="109"/>
      <c r="Q20" s="116"/>
      <c r="R20" s="116"/>
      <c r="S20" s="146"/>
    </row>
    <row r="21" spans="1:19" ht="12.75">
      <c r="A21" s="130"/>
      <c r="B21" s="142"/>
      <c r="C21" s="143"/>
      <c r="D21" s="109"/>
      <c r="E21" s="109"/>
      <c r="G21" s="136" t="s">
        <v>348</v>
      </c>
      <c r="H21" s="136"/>
      <c r="I21" s="136"/>
      <c r="K21" s="109"/>
      <c r="L21" s="109"/>
      <c r="M21" s="109"/>
      <c r="N21" s="109"/>
      <c r="O21" s="109"/>
      <c r="P21" s="109"/>
      <c r="Q21" s="116"/>
      <c r="R21" s="116"/>
      <c r="S21" s="146"/>
    </row>
    <row r="22" spans="1:19" ht="12.75">
      <c r="A22" s="130"/>
      <c r="B22" s="142"/>
      <c r="C22" s="143"/>
      <c r="D22" s="109"/>
      <c r="E22" s="109"/>
      <c r="F22" s="150"/>
      <c r="H22" s="150" t="s">
        <v>349</v>
      </c>
      <c r="I22" s="150"/>
      <c r="K22" s="116"/>
      <c r="L22" s="109"/>
      <c r="M22" s="109"/>
      <c r="N22" s="109"/>
      <c r="O22" s="152">
        <v>0.02</v>
      </c>
      <c r="P22" s="152"/>
      <c r="Q22" s="116"/>
      <c r="R22" s="116"/>
      <c r="S22" s="146"/>
    </row>
    <row r="23" spans="1:19" ht="12.75">
      <c r="A23" s="130"/>
      <c r="B23" s="142"/>
      <c r="C23" s="143"/>
      <c r="D23" s="109"/>
      <c r="E23" s="109"/>
      <c r="F23" s="113"/>
      <c r="H23" s="158" t="s">
        <v>350</v>
      </c>
      <c r="I23" s="158"/>
      <c r="J23" s="158"/>
      <c r="K23" s="158"/>
      <c r="L23" s="158"/>
      <c r="M23" s="158"/>
      <c r="N23" s="109"/>
      <c r="O23" s="152">
        <v>0.03</v>
      </c>
      <c r="P23" s="159">
        <v>12000</v>
      </c>
      <c r="Q23" s="160">
        <f>ROUND(P23/R23,4)</f>
        <v>0.025</v>
      </c>
      <c r="R23" s="161">
        <f>+H62</f>
        <v>480000</v>
      </c>
      <c r="S23" s="146"/>
    </row>
    <row r="24" spans="1:19" ht="12.75">
      <c r="A24" s="130"/>
      <c r="B24" s="142"/>
      <c r="C24" s="143"/>
      <c r="D24" s="109"/>
      <c r="E24" s="109"/>
      <c r="F24" s="113"/>
      <c r="H24" s="158" t="s">
        <v>351</v>
      </c>
      <c r="I24" s="158"/>
      <c r="J24" s="158"/>
      <c r="K24" s="158"/>
      <c r="L24" s="158"/>
      <c r="O24" s="162">
        <v>0.02</v>
      </c>
      <c r="P24" s="159">
        <v>24000</v>
      </c>
      <c r="Q24" s="161"/>
      <c r="R24" s="161">
        <f>+R23*Q23</f>
        <v>12000</v>
      </c>
      <c r="S24" s="146"/>
    </row>
    <row r="25" spans="1:19" ht="12.75">
      <c r="A25" s="130"/>
      <c r="B25" s="142"/>
      <c r="C25" s="143"/>
      <c r="D25" s="109"/>
      <c r="E25" s="109"/>
      <c r="F25" s="113"/>
      <c r="H25" s="150" t="s">
        <v>352</v>
      </c>
      <c r="I25" s="150"/>
      <c r="O25" s="162">
        <v>0.01</v>
      </c>
      <c r="P25" s="163"/>
      <c r="Q25" s="116"/>
      <c r="R25" s="116"/>
      <c r="S25" s="146"/>
    </row>
    <row r="26" spans="1:19" ht="12.75">
      <c r="A26" s="130"/>
      <c r="B26" s="142"/>
      <c r="C26" s="143"/>
      <c r="D26" s="109"/>
      <c r="E26" s="109"/>
      <c r="F26" s="113"/>
      <c r="G26" s="136" t="s">
        <v>353</v>
      </c>
      <c r="H26" s="150"/>
      <c r="I26" s="150"/>
      <c r="O26" s="152"/>
      <c r="P26" s="163"/>
      <c r="Q26" s="116"/>
      <c r="R26" s="116"/>
      <c r="S26" s="146"/>
    </row>
    <row r="27" spans="1:19" ht="12.75">
      <c r="A27" s="130"/>
      <c r="B27" s="142"/>
      <c r="C27" s="143"/>
      <c r="D27" s="109"/>
      <c r="E27" s="109"/>
      <c r="H27" s="150" t="s">
        <v>354</v>
      </c>
      <c r="I27" s="150"/>
      <c r="K27" s="116"/>
      <c r="L27" s="109"/>
      <c r="M27" s="109"/>
      <c r="N27" s="109"/>
      <c r="O27" s="152">
        <v>0.07</v>
      </c>
      <c r="P27" s="152"/>
      <c r="Q27" s="116"/>
      <c r="R27" s="116"/>
      <c r="S27" s="146"/>
    </row>
    <row r="28" spans="1:19" ht="12.75">
      <c r="A28" s="130"/>
      <c r="B28" s="142"/>
      <c r="C28" s="143"/>
      <c r="D28" s="109"/>
      <c r="E28" s="109"/>
      <c r="H28" s="150" t="s">
        <v>355</v>
      </c>
      <c r="I28" s="150"/>
      <c r="K28" s="116"/>
      <c r="L28" s="109"/>
      <c r="M28" s="109"/>
      <c r="N28" s="109"/>
      <c r="O28" s="152">
        <v>0.005</v>
      </c>
      <c r="P28" s="152"/>
      <c r="Q28" s="116"/>
      <c r="R28" s="116"/>
      <c r="S28" s="146"/>
    </row>
    <row r="29" spans="1:19" ht="12.75">
      <c r="A29" s="130"/>
      <c r="B29" s="142"/>
      <c r="C29" s="143"/>
      <c r="D29" s="109"/>
      <c r="E29" s="109"/>
      <c r="F29" s="113"/>
      <c r="H29" s="150" t="s">
        <v>356</v>
      </c>
      <c r="I29" s="150"/>
      <c r="O29" s="162">
        <v>0.019</v>
      </c>
      <c r="P29" s="163"/>
      <c r="Q29" s="116"/>
      <c r="R29" s="116"/>
      <c r="S29" s="146"/>
    </row>
    <row r="30" spans="1:19" ht="12.75">
      <c r="A30" s="130"/>
      <c r="B30" s="142"/>
      <c r="C30" s="143"/>
      <c r="D30" s="109"/>
      <c r="E30" s="109"/>
      <c r="F30" s="113"/>
      <c r="G30" s="150"/>
      <c r="H30" s="150"/>
      <c r="I30" s="150"/>
      <c r="O30" s="152"/>
      <c r="P30" s="152"/>
      <c r="Q30" s="116"/>
      <c r="R30" s="116"/>
      <c r="S30" s="146"/>
    </row>
    <row r="31" spans="1:19" ht="12.75">
      <c r="A31" s="130"/>
      <c r="B31" s="142"/>
      <c r="C31" s="143"/>
      <c r="D31" s="109"/>
      <c r="E31" s="109"/>
      <c r="F31" s="113"/>
      <c r="G31" s="164" t="s">
        <v>357</v>
      </c>
      <c r="H31" s="150"/>
      <c r="I31" s="150"/>
      <c r="L31" s="165">
        <f>SUM(L32:L37)</f>
        <v>27144</v>
      </c>
      <c r="M31" s="165"/>
      <c r="N31" s="166"/>
      <c r="O31" s="167">
        <f>SUM(O32:O37)</f>
        <v>0.10250000000000001</v>
      </c>
      <c r="Q31" s="116"/>
      <c r="R31" s="116"/>
      <c r="S31" s="146"/>
    </row>
    <row r="32" spans="1:19" ht="12.75">
      <c r="A32" s="130"/>
      <c r="B32" s="142"/>
      <c r="C32" s="143"/>
      <c r="D32" s="109"/>
      <c r="E32" s="109"/>
      <c r="F32" s="113"/>
      <c r="G32" s="168" t="s">
        <v>358</v>
      </c>
      <c r="H32" s="150"/>
      <c r="I32" s="150"/>
      <c r="L32" s="169">
        <f>+$I$62*O32</f>
        <v>27144</v>
      </c>
      <c r="M32" s="169"/>
      <c r="O32" s="167">
        <v>0.04</v>
      </c>
      <c r="Q32" s="116"/>
      <c r="R32" s="116"/>
      <c r="S32" s="146"/>
    </row>
    <row r="33" spans="1:19" ht="12.75">
      <c r="A33" s="130"/>
      <c r="B33" s="142"/>
      <c r="C33" s="143"/>
      <c r="D33" s="109"/>
      <c r="E33" s="109"/>
      <c r="F33" s="113"/>
      <c r="G33" s="168" t="s">
        <v>359</v>
      </c>
      <c r="H33" s="150"/>
      <c r="I33" s="150"/>
      <c r="L33" s="169">
        <f>+$I$68*O33</f>
        <v>0</v>
      </c>
      <c r="M33" s="169"/>
      <c r="O33" s="167">
        <v>0.0125</v>
      </c>
      <c r="Q33" s="116"/>
      <c r="R33" s="116"/>
      <c r="S33" s="146"/>
    </row>
    <row r="34" spans="1:19" ht="12.75">
      <c r="A34" s="130"/>
      <c r="B34" s="142"/>
      <c r="C34" s="143"/>
      <c r="D34" s="109"/>
      <c r="E34" s="109"/>
      <c r="F34" s="113"/>
      <c r="G34" s="168" t="s">
        <v>360</v>
      </c>
      <c r="H34" s="144"/>
      <c r="I34" s="144"/>
      <c r="J34" s="115"/>
      <c r="K34" s="116"/>
      <c r="L34" s="169">
        <f>+$I$68*O34</f>
        <v>0</v>
      </c>
      <c r="M34" s="170"/>
      <c r="N34" s="116"/>
      <c r="O34" s="167">
        <v>0.015</v>
      </c>
      <c r="Q34" s="116"/>
      <c r="R34" s="116"/>
      <c r="S34" s="146"/>
    </row>
    <row r="35" spans="1:19" ht="12.75">
      <c r="A35" s="130"/>
      <c r="B35" s="142"/>
      <c r="C35" s="143"/>
      <c r="D35" s="109"/>
      <c r="E35" s="109"/>
      <c r="F35" s="113"/>
      <c r="G35" s="168" t="s">
        <v>361</v>
      </c>
      <c r="H35" s="144"/>
      <c r="I35" s="144"/>
      <c r="J35" s="115"/>
      <c r="K35" s="116"/>
      <c r="L35" s="169">
        <f>+$I$68*O35</f>
        <v>0</v>
      </c>
      <c r="M35" s="170"/>
      <c r="N35" s="116"/>
      <c r="O35" s="167">
        <v>0.02</v>
      </c>
      <c r="Q35" s="116"/>
      <c r="R35" s="116"/>
      <c r="S35" s="146"/>
    </row>
    <row r="36" spans="1:19" ht="12.75">
      <c r="A36" s="130"/>
      <c r="B36" s="142"/>
      <c r="C36" s="143"/>
      <c r="D36" s="109"/>
      <c r="E36" s="109"/>
      <c r="F36" s="113"/>
      <c r="G36" s="168" t="s">
        <v>362</v>
      </c>
      <c r="H36" s="144"/>
      <c r="I36" s="144"/>
      <c r="J36" s="115"/>
      <c r="K36" s="116"/>
      <c r="L36" s="169">
        <f>+$I$68*O36</f>
        <v>0</v>
      </c>
      <c r="M36" s="170"/>
      <c r="N36" s="116"/>
      <c r="O36" s="167">
        <v>0.01</v>
      </c>
      <c r="Q36" s="116"/>
      <c r="R36" s="116"/>
      <c r="S36" s="146"/>
    </row>
    <row r="37" spans="1:19" ht="12.75">
      <c r="A37" s="130"/>
      <c r="B37" s="142"/>
      <c r="C37" s="143"/>
      <c r="D37" s="109"/>
      <c r="E37" s="109"/>
      <c r="F37" s="113"/>
      <c r="G37" s="168" t="s">
        <v>363</v>
      </c>
      <c r="H37" s="144"/>
      <c r="I37" s="144"/>
      <c r="J37" s="115"/>
      <c r="K37" s="116"/>
      <c r="L37" s="169">
        <f>+$I$68*O37</f>
        <v>0</v>
      </c>
      <c r="M37" s="170"/>
      <c r="N37" s="116"/>
      <c r="O37" s="167">
        <v>0.005</v>
      </c>
      <c r="Q37" s="116"/>
      <c r="R37" s="116"/>
      <c r="S37" s="146"/>
    </row>
    <row r="38" spans="1:255" ht="13.5" thickBot="1">
      <c r="A38" s="151"/>
      <c r="B38" s="151"/>
      <c r="C38" s="151"/>
      <c r="D38" s="151"/>
      <c r="F38" s="151"/>
      <c r="G38" s="151"/>
      <c r="H38" s="151"/>
      <c r="I38" s="151"/>
      <c r="K38" s="151"/>
      <c r="L38" s="151"/>
      <c r="M38" s="151"/>
      <c r="N38" s="151"/>
      <c r="O38" s="151"/>
      <c r="P38" s="151"/>
      <c r="Q38" s="151"/>
      <c r="R38" s="151"/>
      <c r="S38" s="151"/>
      <c r="T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c r="ES38" s="151"/>
      <c r="ET38" s="151"/>
      <c r="EU38" s="151"/>
      <c r="EV38" s="151"/>
      <c r="EW38" s="151"/>
      <c r="EX38" s="151"/>
      <c r="EY38" s="151"/>
      <c r="EZ38" s="151"/>
      <c r="FA38" s="151"/>
      <c r="FB38" s="151"/>
      <c r="FC38" s="151"/>
      <c r="FD38" s="151"/>
      <c r="FE38" s="151"/>
      <c r="FF38" s="151"/>
      <c r="FG38" s="151"/>
      <c r="FH38" s="151"/>
      <c r="FI38" s="151"/>
      <c r="FJ38" s="151"/>
      <c r="FK38" s="151"/>
      <c r="FL38" s="151"/>
      <c r="FM38" s="151"/>
      <c r="FN38" s="151"/>
      <c r="FO38" s="151"/>
      <c r="FP38" s="151"/>
      <c r="FQ38" s="151"/>
      <c r="FR38" s="151"/>
      <c r="FS38" s="151"/>
      <c r="FT38" s="151"/>
      <c r="FU38" s="151"/>
      <c r="FV38" s="151"/>
      <c r="FW38" s="151"/>
      <c r="FX38" s="151"/>
      <c r="FY38" s="151"/>
      <c r="FZ38" s="151"/>
      <c r="GA38" s="151"/>
      <c r="GB38" s="151"/>
      <c r="GC38" s="151"/>
      <c r="GD38" s="151"/>
      <c r="GE38" s="151"/>
      <c r="GF38" s="151"/>
      <c r="GG38" s="151"/>
      <c r="GH38" s="151"/>
      <c r="GI38" s="151"/>
      <c r="GJ38" s="151"/>
      <c r="GK38" s="151"/>
      <c r="GL38" s="151"/>
      <c r="GM38" s="151"/>
      <c r="GN38" s="151"/>
      <c r="GO38" s="151"/>
      <c r="GP38" s="151"/>
      <c r="GQ38" s="151"/>
      <c r="GR38" s="151"/>
      <c r="GS38" s="151"/>
      <c r="GT38" s="151"/>
      <c r="GU38" s="151"/>
      <c r="GV38" s="151"/>
      <c r="GW38" s="151"/>
      <c r="GX38" s="151"/>
      <c r="GY38" s="151"/>
      <c r="GZ38" s="151"/>
      <c r="HA38" s="151"/>
      <c r="HB38" s="151"/>
      <c r="HC38" s="151"/>
      <c r="HD38" s="151"/>
      <c r="HE38" s="151"/>
      <c r="HF38" s="151"/>
      <c r="HG38" s="151"/>
      <c r="HH38" s="151"/>
      <c r="HI38" s="151"/>
      <c r="HJ38" s="151"/>
      <c r="HK38" s="151"/>
      <c r="HL38" s="151"/>
      <c r="HM38" s="151"/>
      <c r="HN38" s="151"/>
      <c r="HO38" s="151"/>
      <c r="HP38" s="151"/>
      <c r="HQ38" s="151"/>
      <c r="HR38" s="151"/>
      <c r="HS38" s="151"/>
      <c r="HT38" s="151"/>
      <c r="HU38" s="151"/>
      <c r="HV38" s="151"/>
      <c r="HW38" s="151"/>
      <c r="HX38" s="151"/>
      <c r="HY38" s="151"/>
      <c r="HZ38" s="151"/>
      <c r="IA38" s="151"/>
      <c r="IB38" s="151"/>
      <c r="IC38" s="151"/>
      <c r="ID38" s="151"/>
      <c r="IE38" s="151"/>
      <c r="IF38" s="151"/>
      <c r="IG38" s="151"/>
      <c r="IH38" s="151"/>
      <c r="II38" s="151"/>
      <c r="IJ38" s="151"/>
      <c r="IK38" s="151"/>
      <c r="IL38" s="151"/>
      <c r="IM38" s="151"/>
      <c r="IN38" s="151"/>
      <c r="IO38" s="151"/>
      <c r="IP38" s="151"/>
      <c r="IQ38" s="151"/>
      <c r="IR38" s="151"/>
      <c r="IS38" s="151"/>
      <c r="IT38" s="151"/>
      <c r="IU38" s="151"/>
    </row>
    <row r="39" spans="1:19" ht="13.5" thickTop="1">
      <c r="A39" s="130"/>
      <c r="B39" s="171" t="s">
        <v>364</v>
      </c>
      <c r="C39" s="172"/>
      <c r="D39" s="173"/>
      <c r="E39" s="174"/>
      <c r="F39" s="173"/>
      <c r="G39" s="173"/>
      <c r="H39" s="173"/>
      <c r="I39" s="173"/>
      <c r="J39" s="175"/>
      <c r="K39" s="139"/>
      <c r="L39" s="139"/>
      <c r="M39" s="139"/>
      <c r="N39" s="139"/>
      <c r="O39" s="139"/>
      <c r="P39" s="176"/>
      <c r="Q39" s="177"/>
      <c r="R39" s="178"/>
      <c r="S39" s="179"/>
    </row>
    <row r="40" spans="1:92" s="121" customFormat="1" ht="38.25">
      <c r="A40" s="180"/>
      <c r="B40" s="181" t="s">
        <v>153</v>
      </c>
      <c r="C40" s="182" t="s">
        <v>365</v>
      </c>
      <c r="D40" s="183" t="s">
        <v>366</v>
      </c>
      <c r="E40" s="184" t="s">
        <v>367</v>
      </c>
      <c r="F40" s="183" t="s">
        <v>368</v>
      </c>
      <c r="G40" s="183" t="s">
        <v>369</v>
      </c>
      <c r="H40" s="183" t="s">
        <v>370</v>
      </c>
      <c r="I40" s="183" t="s">
        <v>371</v>
      </c>
      <c r="J40" s="185" t="s">
        <v>372</v>
      </c>
      <c r="K40" s="186" t="s">
        <v>373</v>
      </c>
      <c r="L40" s="186" t="s">
        <v>374</v>
      </c>
      <c r="M40" s="186" t="s">
        <v>375</v>
      </c>
      <c r="N40" s="186" t="s">
        <v>376</v>
      </c>
      <c r="O40" s="186" t="s">
        <v>377</v>
      </c>
      <c r="P40" s="187" t="s">
        <v>378</v>
      </c>
      <c r="Q40" s="188" t="s">
        <v>379</v>
      </c>
      <c r="R40" s="189" t="s">
        <v>380</v>
      </c>
      <c r="S40" s="180"/>
      <c r="T40" s="109"/>
      <c r="U40" s="109"/>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row>
    <row r="41" spans="1:19" ht="12.75">
      <c r="A41" s="130"/>
      <c r="B41" s="191"/>
      <c r="C41" s="192"/>
      <c r="D41" s="193"/>
      <c r="E41" s="194"/>
      <c r="F41" s="195"/>
      <c r="G41" s="195"/>
      <c r="H41" s="195"/>
      <c r="I41" s="195"/>
      <c r="J41" s="196"/>
      <c r="K41" s="197"/>
      <c r="L41" s="197"/>
      <c r="M41" s="197"/>
      <c r="N41" s="197"/>
      <c r="O41" s="197"/>
      <c r="P41" s="198"/>
      <c r="Q41" s="199"/>
      <c r="R41" s="200"/>
      <c r="S41" s="130"/>
    </row>
    <row r="42" spans="1:19" ht="12.75" customHeight="1">
      <c r="A42" s="130"/>
      <c r="B42" s="181" t="s">
        <v>381</v>
      </c>
      <c r="C42" s="192"/>
      <c r="D42" s="129"/>
      <c r="E42" s="201"/>
      <c r="F42" s="129"/>
      <c r="G42" s="129"/>
      <c r="H42" s="129"/>
      <c r="I42" s="129"/>
      <c r="J42" s="196"/>
      <c r="K42" s="197"/>
      <c r="L42" s="197"/>
      <c r="M42" s="197"/>
      <c r="N42" s="197"/>
      <c r="O42" s="197"/>
      <c r="P42" s="198"/>
      <c r="Q42" s="199"/>
      <c r="R42" s="200"/>
      <c r="S42" s="130"/>
    </row>
    <row r="43" spans="1:19" ht="12.75" customHeight="1">
      <c r="A43" s="130"/>
      <c r="B43" s="181" t="s">
        <v>382</v>
      </c>
      <c r="C43" s="192"/>
      <c r="D43" s="129"/>
      <c r="E43" s="201"/>
      <c r="F43" s="129"/>
      <c r="G43" s="129"/>
      <c r="H43" s="129"/>
      <c r="I43" s="129"/>
      <c r="J43" s="196"/>
      <c r="K43" s="197"/>
      <c r="L43" s="197"/>
      <c r="M43" s="197"/>
      <c r="N43" s="197"/>
      <c r="O43" s="197"/>
      <c r="P43" s="198"/>
      <c r="Q43" s="199"/>
      <c r="R43" s="200"/>
      <c r="S43" s="130"/>
    </row>
    <row r="44" spans="1:80" ht="12.75">
      <c r="A44" s="130"/>
      <c r="B44" s="191" t="s">
        <v>383</v>
      </c>
      <c r="C44" s="202"/>
      <c r="D44" s="203">
        <v>1</v>
      </c>
      <c r="E44" s="204" t="s">
        <v>384</v>
      </c>
      <c r="F44" s="205">
        <v>0</v>
      </c>
      <c r="G44" s="206">
        <v>15000</v>
      </c>
      <c r="H44" s="207">
        <f>+F44*D44</f>
        <v>0</v>
      </c>
      <c r="I44" s="208">
        <f>+G44*D44</f>
        <v>15000</v>
      </c>
      <c r="J44" s="209">
        <f>ROUND((G44+F44)*D44,-2)/1000</f>
        <v>15</v>
      </c>
      <c r="K44" s="210">
        <f>ROUND(+J44*O$12,2)</f>
        <v>1.2</v>
      </c>
      <c r="L44" s="210">
        <f>ROUND(J44*(O$22+O$27+O$28),2)</f>
        <v>1.43</v>
      </c>
      <c r="M44" s="210">
        <f>IF($R$23*$O$23&gt;$P$23,H44/1000*$Q$23,H44/1000*$O$23)</f>
        <v>0</v>
      </c>
      <c r="N44" s="210">
        <f>ROUND(I44*O$31/1000,2)</f>
        <v>1.54</v>
      </c>
      <c r="O44" s="210">
        <f>ROUND(+G44*D44*E$11,2)/1000</f>
        <v>0</v>
      </c>
      <c r="P44" s="211">
        <f>+O44+N44+L44+K44+J44+M44</f>
        <v>19.17</v>
      </c>
      <c r="Q44" s="212"/>
      <c r="R44" s="213">
        <f>+P44+(Q44*P44)</f>
        <v>19.17</v>
      </c>
      <c r="S44" s="130"/>
      <c r="V44" s="214"/>
      <c r="W44" s="214"/>
      <c r="AD44" s="214"/>
      <c r="BE44" s="215"/>
      <c r="BF44" s="215"/>
      <c r="BH44" s="215"/>
      <c r="CA44" s="214"/>
      <c r="CB44" s="214"/>
    </row>
    <row r="45" spans="1:80" ht="12.75" customHeight="1">
      <c r="A45" s="130"/>
      <c r="B45" s="191" t="s">
        <v>385</v>
      </c>
      <c r="C45" s="192"/>
      <c r="D45" s="203">
        <v>4</v>
      </c>
      <c r="E45" s="204" t="s">
        <v>384</v>
      </c>
      <c r="F45" s="205">
        <v>95000</v>
      </c>
      <c r="G45" s="206">
        <v>15000</v>
      </c>
      <c r="H45" s="207">
        <f>+F45*D45</f>
        <v>380000</v>
      </c>
      <c r="I45" s="208">
        <f>+G45*D45</f>
        <v>60000</v>
      </c>
      <c r="J45" s="209">
        <f>ROUND((G45+F45)*D45,-2)/1000</f>
        <v>440</v>
      </c>
      <c r="K45" s="210">
        <f>ROUND(+J45*O$12,2)</f>
        <v>35.2</v>
      </c>
      <c r="L45" s="210">
        <f>ROUND(J45*(O$22+O$27+O$28),2)</f>
        <v>41.8</v>
      </c>
      <c r="M45" s="210">
        <f>IF($R$23*$O$23&gt;$P$23,H45/1000*$Q$23,H45/1000*$O$23)</f>
        <v>9.5</v>
      </c>
      <c r="N45" s="210">
        <f>ROUND(I45*O$31/1000,2)</f>
        <v>6.15</v>
      </c>
      <c r="O45" s="210">
        <f>ROUND(+G45*D45*E$11,2)/1000</f>
        <v>0</v>
      </c>
      <c r="P45" s="211">
        <f>+O45+N45+L45+K45+J45+M45</f>
        <v>532.65</v>
      </c>
      <c r="Q45" s="212"/>
      <c r="R45" s="213">
        <f>+P45+(Q45*P45)</f>
        <v>532.65</v>
      </c>
      <c r="S45" s="130"/>
      <c r="V45" s="214"/>
      <c r="W45" s="214"/>
      <c r="AD45" s="214"/>
      <c r="BE45" s="215"/>
      <c r="BF45" s="215"/>
      <c r="BH45" s="215"/>
      <c r="CA45" s="214"/>
      <c r="CB45" s="214"/>
    </row>
    <row r="46" spans="1:80" ht="12.75">
      <c r="A46" s="130"/>
      <c r="B46" s="191" t="s">
        <v>386</v>
      </c>
      <c r="C46" s="192"/>
      <c r="D46" s="203">
        <v>1</v>
      </c>
      <c r="E46" s="204" t="s">
        <v>384</v>
      </c>
      <c r="F46" s="205">
        <v>50000</v>
      </c>
      <c r="G46" s="206">
        <v>450000</v>
      </c>
      <c r="H46" s="207">
        <f>+F46*D46</f>
        <v>50000</v>
      </c>
      <c r="I46" s="208">
        <f>+G46*D46</f>
        <v>450000</v>
      </c>
      <c r="J46" s="209">
        <f>ROUND((G46+F46)*D46,-2)/1000</f>
        <v>500</v>
      </c>
      <c r="K46" s="210">
        <f>ROUND(+J46*O$12,2)</f>
        <v>40</v>
      </c>
      <c r="L46" s="210">
        <f>ROUND(J46*(O$22+O$27+O$28),2)</f>
        <v>47.5</v>
      </c>
      <c r="M46" s="210">
        <f>IF($R$23*$O$23&gt;$P$23,H46/1000*$Q$23,H46/1000*$O$23)</f>
        <v>1.25</v>
      </c>
      <c r="N46" s="210">
        <f>ROUND(I46*O$31/1000,2)</f>
        <v>46.13</v>
      </c>
      <c r="O46" s="210">
        <f>ROUND(+G46*D46*E$11,2)/1000</f>
        <v>0</v>
      </c>
      <c r="P46" s="211">
        <f>+O46+N46+L46+K46+J46+M46</f>
        <v>634.88</v>
      </c>
      <c r="Q46" s="212"/>
      <c r="R46" s="213">
        <f>+P46+(Q46*P46)</f>
        <v>634.88</v>
      </c>
      <c r="S46" s="130"/>
      <c r="V46" s="214"/>
      <c r="W46" s="214"/>
      <c r="AD46" s="214"/>
      <c r="BE46" s="215"/>
      <c r="BF46" s="215"/>
      <c r="BH46" s="215"/>
      <c r="CA46" s="214"/>
      <c r="CB46" s="214"/>
    </row>
    <row r="47" spans="1:80" ht="12.75">
      <c r="A47" s="130"/>
      <c r="B47" s="191" t="s">
        <v>387</v>
      </c>
      <c r="C47" s="192"/>
      <c r="D47" s="203">
        <v>1</v>
      </c>
      <c r="E47" s="204" t="s">
        <v>384</v>
      </c>
      <c r="F47" s="205">
        <v>50000</v>
      </c>
      <c r="G47" s="206">
        <v>150000</v>
      </c>
      <c r="H47" s="207">
        <f>+F47*D47</f>
        <v>50000</v>
      </c>
      <c r="I47" s="208">
        <f>+G47*D47</f>
        <v>150000</v>
      </c>
      <c r="J47" s="209">
        <f>ROUND((G47+F47)*D47,-2)/1000</f>
        <v>200</v>
      </c>
      <c r="K47" s="210">
        <f>ROUND(+J47*O$12,2)</f>
        <v>16</v>
      </c>
      <c r="L47" s="210">
        <f>ROUND(J47*(O$22+O$27+O$28),2)</f>
        <v>19</v>
      </c>
      <c r="M47" s="210">
        <f>IF($R$23*$O$23&gt;$P$23,H47/1000*$Q$23,H47/1000*$O$23)</f>
        <v>1.25</v>
      </c>
      <c r="N47" s="210">
        <f>ROUND(I47*O$31/1000,2)</f>
        <v>15.38</v>
      </c>
      <c r="O47" s="210">
        <f>ROUND(+G47*D47*E$11,2)/1000</f>
        <v>0</v>
      </c>
      <c r="P47" s="211">
        <f>+O47+N47+L47+K47+J47+M47</f>
        <v>251.63</v>
      </c>
      <c r="Q47" s="212"/>
      <c r="R47" s="213">
        <f>+P47+(Q47*P47)</f>
        <v>251.63</v>
      </c>
      <c r="S47" s="130"/>
      <c r="V47" s="214"/>
      <c r="W47" s="214"/>
      <c r="AD47" s="214"/>
      <c r="BE47" s="215"/>
      <c r="BF47" s="215"/>
      <c r="BH47" s="215"/>
      <c r="CA47" s="214"/>
      <c r="CB47" s="214"/>
    </row>
    <row r="48" spans="1:19" ht="12" customHeight="1">
      <c r="A48" s="130"/>
      <c r="B48" s="216"/>
      <c r="C48" s="217"/>
      <c r="D48" s="218"/>
      <c r="E48" s="219"/>
      <c r="F48" s="220"/>
      <c r="G48" s="221"/>
      <c r="H48" s="221"/>
      <c r="I48" s="221"/>
      <c r="J48" s="222"/>
      <c r="K48" s="223"/>
      <c r="L48" s="223"/>
      <c r="M48" s="223"/>
      <c r="N48" s="223"/>
      <c r="O48" s="223"/>
      <c r="P48" s="224"/>
      <c r="Q48" s="225"/>
      <c r="R48" s="226"/>
      <c r="S48" s="227"/>
    </row>
    <row r="49" spans="1:30" ht="12.75">
      <c r="A49" s="130"/>
      <c r="B49" s="191"/>
      <c r="C49" s="192"/>
      <c r="D49" s="129"/>
      <c r="E49" s="201"/>
      <c r="F49" s="129"/>
      <c r="G49" s="129"/>
      <c r="H49" s="228">
        <f>SUM(H45:H48)</f>
        <v>480000</v>
      </c>
      <c r="I49" s="229">
        <f>SUM(I45:I48)</f>
        <v>660000</v>
      </c>
      <c r="J49" s="230">
        <f aca="true" t="shared" si="0" ref="J49:P49">SUM(J43:J48)</f>
        <v>1155</v>
      </c>
      <c r="K49" s="230">
        <f t="shared" si="0"/>
        <v>92.4</v>
      </c>
      <c r="L49" s="230">
        <f t="shared" si="0"/>
        <v>109.72999999999999</v>
      </c>
      <c r="M49" s="230">
        <f t="shared" si="0"/>
        <v>12</v>
      </c>
      <c r="N49" s="230">
        <f t="shared" si="0"/>
        <v>69.2</v>
      </c>
      <c r="O49" s="230">
        <f t="shared" si="0"/>
        <v>0</v>
      </c>
      <c r="P49" s="231">
        <f t="shared" si="0"/>
        <v>1438.33</v>
      </c>
      <c r="Q49" s="232"/>
      <c r="R49" s="233">
        <f>SUM(R43:R48)</f>
        <v>1438.33</v>
      </c>
      <c r="S49" s="234"/>
      <c r="V49" s="214"/>
      <c r="W49" s="214"/>
      <c r="AD49" s="214"/>
    </row>
    <row r="50" spans="1:19" ht="12.75">
      <c r="A50" s="130"/>
      <c r="B50" s="191"/>
      <c r="C50" s="192"/>
      <c r="D50" s="129"/>
      <c r="E50" s="250"/>
      <c r="F50" s="129"/>
      <c r="G50" s="129"/>
      <c r="H50" s="129"/>
      <c r="I50" s="129"/>
      <c r="J50" s="251"/>
      <c r="K50" s="184"/>
      <c r="L50" s="184"/>
      <c r="M50" s="184"/>
      <c r="N50" s="184"/>
      <c r="O50" s="184"/>
      <c r="P50" s="252"/>
      <c r="Q50" s="236"/>
      <c r="R50" s="237"/>
      <c r="S50" s="253"/>
    </row>
    <row r="51" spans="1:19" ht="12.75">
      <c r="A51" s="130"/>
      <c r="B51" s="181" t="s">
        <v>221</v>
      </c>
      <c r="C51" s="182"/>
      <c r="D51" s="129"/>
      <c r="E51" s="250"/>
      <c r="F51" s="129"/>
      <c r="G51" s="129"/>
      <c r="H51" s="129"/>
      <c r="I51" s="129"/>
      <c r="J51" s="251"/>
      <c r="K51" s="184"/>
      <c r="L51" s="184"/>
      <c r="M51" s="184"/>
      <c r="N51" s="184"/>
      <c r="O51" s="184"/>
      <c r="P51" s="252"/>
      <c r="Q51" s="254"/>
      <c r="R51" s="237"/>
      <c r="S51" s="253"/>
    </row>
    <row r="52" spans="1:19" ht="12.75">
      <c r="A52" s="130"/>
      <c r="B52" s="181" t="s">
        <v>391</v>
      </c>
      <c r="C52" s="182"/>
      <c r="D52" s="129"/>
      <c r="E52" s="201"/>
      <c r="F52" s="129"/>
      <c r="G52" s="129"/>
      <c r="H52" s="129"/>
      <c r="I52" s="129"/>
      <c r="J52" s="196"/>
      <c r="K52" s="201"/>
      <c r="L52" s="201"/>
      <c r="M52" s="201"/>
      <c r="N52" s="201"/>
      <c r="O52" s="201"/>
      <c r="P52" s="235"/>
      <c r="Q52" s="236"/>
      <c r="R52" s="237"/>
      <c r="S52" s="241"/>
    </row>
    <row r="53" spans="1:19" ht="25.5">
      <c r="A53" s="130"/>
      <c r="B53" s="191" t="s">
        <v>393</v>
      </c>
      <c r="C53" s="192"/>
      <c r="D53" s="239">
        <v>2</v>
      </c>
      <c r="E53" s="204" t="s">
        <v>392</v>
      </c>
      <c r="F53" s="240">
        <v>0</v>
      </c>
      <c r="G53" s="240">
        <v>5000</v>
      </c>
      <c r="H53" s="207">
        <f>+F53*D53</f>
        <v>0</v>
      </c>
      <c r="I53" s="208">
        <f>+G53*D53</f>
        <v>10000</v>
      </c>
      <c r="J53" s="209">
        <f>ROUND((G53+F53)*D53,-2)/1000</f>
        <v>10</v>
      </c>
      <c r="K53" s="210">
        <f>ROUND(+J53*O$16,2)</f>
        <v>2.5</v>
      </c>
      <c r="L53" s="210">
        <f>ROUND(J53*(O$22+O$27+O$28),2)</f>
        <v>0.95</v>
      </c>
      <c r="M53" s="210">
        <f>IF($R$23*$O$23&gt;$P$23,H53/1000*$Q$23,H53/1000*$O$23)</f>
        <v>0</v>
      </c>
      <c r="N53" s="210">
        <f>ROUND(I53*O$31/1000,2)</f>
        <v>1.03</v>
      </c>
      <c r="O53" s="210">
        <f>ROUND(+G53*D53*E$11,2)/1000</f>
        <v>0</v>
      </c>
      <c r="P53" s="211">
        <f>+O53+N53+L53+K53+J53+M53</f>
        <v>14.48</v>
      </c>
      <c r="Q53" s="212"/>
      <c r="R53" s="213">
        <f>+P53+(Q53*P53)</f>
        <v>14.48</v>
      </c>
      <c r="S53" s="241"/>
    </row>
    <row r="54" spans="1:19" ht="3.75" customHeight="1">
      <c r="A54" s="130"/>
      <c r="B54" s="216"/>
      <c r="C54" s="217"/>
      <c r="D54" s="218"/>
      <c r="E54" s="219"/>
      <c r="F54" s="220"/>
      <c r="G54" s="221"/>
      <c r="H54" s="221"/>
      <c r="I54" s="221"/>
      <c r="J54" s="222"/>
      <c r="K54" s="223"/>
      <c r="L54" s="223"/>
      <c r="M54" s="223"/>
      <c r="N54" s="223"/>
      <c r="O54" s="223"/>
      <c r="P54" s="224"/>
      <c r="Q54" s="225"/>
      <c r="R54" s="226"/>
      <c r="S54" s="244"/>
    </row>
    <row r="55" spans="1:80" ht="12.75">
      <c r="A55" s="130"/>
      <c r="B55" s="191"/>
      <c r="C55" s="192"/>
      <c r="D55" s="129"/>
      <c r="E55" s="250"/>
      <c r="F55" s="129"/>
      <c r="G55" s="129"/>
      <c r="H55" s="228">
        <f aca="true" t="shared" si="1" ref="H55:R55">SUM(H51:H54)</f>
        <v>0</v>
      </c>
      <c r="I55" s="229">
        <f t="shared" si="1"/>
        <v>10000</v>
      </c>
      <c r="J55" s="230">
        <f t="shared" si="1"/>
        <v>10</v>
      </c>
      <c r="K55" s="242">
        <f t="shared" si="1"/>
        <v>2.5</v>
      </c>
      <c r="L55" s="242">
        <f t="shared" si="1"/>
        <v>0.95</v>
      </c>
      <c r="M55" s="242">
        <f t="shared" si="1"/>
        <v>0</v>
      </c>
      <c r="N55" s="242">
        <f t="shared" si="1"/>
        <v>1.03</v>
      </c>
      <c r="O55" s="242">
        <f t="shared" si="1"/>
        <v>0</v>
      </c>
      <c r="P55" s="231">
        <f t="shared" si="1"/>
        <v>14.48</v>
      </c>
      <c r="Q55" s="232">
        <f t="shared" si="1"/>
        <v>0</v>
      </c>
      <c r="R55" s="233">
        <f t="shared" si="1"/>
        <v>14.48</v>
      </c>
      <c r="S55" s="241"/>
      <c r="V55" s="214"/>
      <c r="AD55" s="214"/>
      <c r="BH55" s="214"/>
      <c r="CA55" s="214"/>
      <c r="CB55" s="214"/>
    </row>
    <row r="56" spans="1:19" ht="12.75">
      <c r="A56" s="130"/>
      <c r="B56" s="191"/>
      <c r="C56" s="192"/>
      <c r="D56" s="129"/>
      <c r="E56" s="201"/>
      <c r="F56" s="129"/>
      <c r="G56" s="129"/>
      <c r="H56" s="228"/>
      <c r="I56" s="229"/>
      <c r="J56" s="230"/>
      <c r="K56" s="242"/>
      <c r="L56" s="242"/>
      <c r="M56" s="242"/>
      <c r="N56" s="242"/>
      <c r="O56" s="256"/>
      <c r="P56" s="231"/>
      <c r="Q56" s="232"/>
      <c r="R56" s="233"/>
      <c r="S56" s="241"/>
    </row>
    <row r="57" spans="1:19" ht="12.75">
      <c r="A57" s="130"/>
      <c r="B57" s="181" t="s">
        <v>310</v>
      </c>
      <c r="C57" s="182"/>
      <c r="D57" s="129"/>
      <c r="E57" s="201"/>
      <c r="F57" s="129"/>
      <c r="G57" s="129"/>
      <c r="H57" s="129"/>
      <c r="I57" s="129"/>
      <c r="J57" s="196"/>
      <c r="K57" s="201"/>
      <c r="L57" s="201"/>
      <c r="M57" s="201"/>
      <c r="N57" s="201"/>
      <c r="O57" s="201"/>
      <c r="P57" s="235"/>
      <c r="Q57" s="236"/>
      <c r="R57" s="237"/>
      <c r="S57" s="241"/>
    </row>
    <row r="58" spans="1:19" ht="12.75">
      <c r="A58" s="130"/>
      <c r="B58" s="257"/>
      <c r="C58" s="182"/>
      <c r="D58" s="239">
        <v>5</v>
      </c>
      <c r="E58" s="204" t="s">
        <v>394</v>
      </c>
      <c r="F58" s="240">
        <v>0</v>
      </c>
      <c r="G58" s="206">
        <f>+E13</f>
        <v>1720</v>
      </c>
      <c r="H58" s="207">
        <f>+F58*D58</f>
        <v>0</v>
      </c>
      <c r="I58" s="208">
        <f>+G58*D58</f>
        <v>8600</v>
      </c>
      <c r="J58" s="209">
        <f>ROUND((G58+F58)*D58,-2)/1000</f>
        <v>8.6</v>
      </c>
      <c r="K58" s="210"/>
      <c r="L58" s="210">
        <f>ROUND(J58*(O$22+O$27+O$28),2)</f>
        <v>0.82</v>
      </c>
      <c r="M58" s="210">
        <f>IF($R$23*$O$23&gt;$P$23,H58/1000*$Q$23,H58/1000*$O$23)</f>
        <v>0</v>
      </c>
      <c r="N58" s="210">
        <f>ROUND(I58*O$31/1000,2)</f>
        <v>0.88</v>
      </c>
      <c r="O58" s="255"/>
      <c r="P58" s="211">
        <f>+O58+N58+L58+K58+J58+M58</f>
        <v>10.299999999999999</v>
      </c>
      <c r="Q58" s="212"/>
      <c r="R58" s="213">
        <f>+P58+(Q58*P58)</f>
        <v>10.299999999999999</v>
      </c>
      <c r="S58" s="241"/>
    </row>
    <row r="59" spans="1:19" ht="3.75" customHeight="1">
      <c r="A59" s="130"/>
      <c r="B59" s="216"/>
      <c r="C59" s="217"/>
      <c r="D59" s="218"/>
      <c r="E59" s="219"/>
      <c r="F59" s="220"/>
      <c r="G59" s="221"/>
      <c r="H59" s="221"/>
      <c r="I59" s="221"/>
      <c r="J59" s="222"/>
      <c r="K59" s="223"/>
      <c r="L59" s="223"/>
      <c r="M59" s="223"/>
      <c r="N59" s="223"/>
      <c r="O59" s="223"/>
      <c r="P59" s="224"/>
      <c r="Q59" s="225"/>
      <c r="R59" s="226"/>
      <c r="S59" s="244"/>
    </row>
    <row r="60" spans="1:80" ht="12.75">
      <c r="A60" s="130"/>
      <c r="B60" s="191"/>
      <c r="C60" s="192"/>
      <c r="D60" s="129"/>
      <c r="E60" s="201"/>
      <c r="F60" s="129"/>
      <c r="G60" s="129"/>
      <c r="H60" s="228">
        <f aca="true" t="shared" si="2" ref="H60:N60">SUM(H57:H59)</f>
        <v>0</v>
      </c>
      <c r="I60" s="229">
        <f t="shared" si="2"/>
        <v>8600</v>
      </c>
      <c r="J60" s="230">
        <f t="shared" si="2"/>
        <v>8.6</v>
      </c>
      <c r="K60" s="242">
        <f t="shared" si="2"/>
        <v>0</v>
      </c>
      <c r="L60" s="242">
        <f t="shared" si="2"/>
        <v>0.82</v>
      </c>
      <c r="M60" s="242">
        <f t="shared" si="2"/>
        <v>0</v>
      </c>
      <c r="N60" s="242">
        <f t="shared" si="2"/>
        <v>0.88</v>
      </c>
      <c r="O60" s="256"/>
      <c r="P60" s="231">
        <f>SUM(P57:P59)</f>
        <v>10.299999999999999</v>
      </c>
      <c r="Q60" s="232"/>
      <c r="R60" s="233">
        <f>SUM(R57:R59)</f>
        <v>10.299999999999999</v>
      </c>
      <c r="S60" s="241"/>
      <c r="V60" s="214"/>
      <c r="AA60" s="214"/>
      <c r="AB60" s="214"/>
      <c r="CA60" s="214"/>
      <c r="CB60" s="214"/>
    </row>
    <row r="61" spans="1:19" ht="13.5" thickBot="1">
      <c r="A61" s="130"/>
      <c r="B61" s="191"/>
      <c r="C61" s="192"/>
      <c r="D61" s="129"/>
      <c r="E61" s="201"/>
      <c r="F61" s="129"/>
      <c r="G61" s="129"/>
      <c r="H61" s="129"/>
      <c r="I61" s="129"/>
      <c r="J61" s="196"/>
      <c r="K61" s="258"/>
      <c r="L61" s="258"/>
      <c r="M61" s="258"/>
      <c r="N61" s="258"/>
      <c r="O61" s="258"/>
      <c r="P61" s="259"/>
      <c r="Q61" s="236"/>
      <c r="R61" s="237"/>
      <c r="S61" s="241"/>
    </row>
    <row r="62" spans="1:21" s="121" customFormat="1" ht="12.75">
      <c r="A62" s="180"/>
      <c r="B62" s="260" t="s">
        <v>395</v>
      </c>
      <c r="C62" s="182"/>
      <c r="D62" s="183"/>
      <c r="E62" s="184"/>
      <c r="F62" s="129"/>
      <c r="G62" s="129"/>
      <c r="H62" s="261">
        <f>+H60+H56+H55+H49</f>
        <v>480000</v>
      </c>
      <c r="I62" s="261">
        <f>+I60+I56+I55+I49</f>
        <v>678600</v>
      </c>
      <c r="J62" s="263">
        <f>+J60+J56+J55+J49</f>
        <v>1173.6</v>
      </c>
      <c r="K62" s="264">
        <f>+K60+K56+K55+K49</f>
        <v>94.9</v>
      </c>
      <c r="L62" s="264">
        <f aca="true" t="shared" si="3" ref="L62:R62">+L60+L56+L55+L49</f>
        <v>111.49999999999999</v>
      </c>
      <c r="M62" s="264">
        <f t="shared" si="3"/>
        <v>12</v>
      </c>
      <c r="N62" s="264">
        <f t="shared" si="3"/>
        <v>71.11</v>
      </c>
      <c r="O62" s="264">
        <f t="shared" si="3"/>
        <v>0</v>
      </c>
      <c r="P62" s="265">
        <f t="shared" si="3"/>
        <v>1463.11</v>
      </c>
      <c r="Q62" s="266">
        <f t="shared" si="3"/>
        <v>0</v>
      </c>
      <c r="R62" s="267">
        <f t="shared" si="3"/>
        <v>1463.11</v>
      </c>
      <c r="S62" s="268"/>
      <c r="U62" s="269"/>
    </row>
    <row r="63" spans="1:21" s="121" customFormat="1" ht="12.75">
      <c r="A63" s="180"/>
      <c r="B63" s="260"/>
      <c r="C63" s="182"/>
      <c r="D63" s="183"/>
      <c r="E63" s="201"/>
      <c r="F63" s="129"/>
      <c r="G63" s="129"/>
      <c r="H63" s="129"/>
      <c r="I63" s="129"/>
      <c r="J63" s="196" t="b">
        <f>IF(J62=SUM(H62:I62)/1000,"")</f>
        <v>0</v>
      </c>
      <c r="K63" s="201"/>
      <c r="L63" s="201"/>
      <c r="M63" s="201"/>
      <c r="N63" s="201"/>
      <c r="O63" s="201"/>
      <c r="P63" s="235">
        <f>IF(P62=SUM(J62:O62),"")</f>
      </c>
      <c r="Q63" s="270"/>
      <c r="R63" s="237"/>
      <c r="S63" s="271"/>
      <c r="U63" s="269"/>
    </row>
    <row r="64" spans="1:21" s="121" customFormat="1" ht="12.75">
      <c r="A64" s="180"/>
      <c r="B64" s="260"/>
      <c r="C64" s="182"/>
      <c r="D64" s="183"/>
      <c r="E64" s="184"/>
      <c r="F64" s="129"/>
      <c r="G64" s="129"/>
      <c r="H64" s="129"/>
      <c r="I64" s="129"/>
      <c r="J64" s="196"/>
      <c r="K64" s="201"/>
      <c r="L64" s="201"/>
      <c r="M64" s="201"/>
      <c r="N64" s="201"/>
      <c r="O64" s="201"/>
      <c r="P64" s="235"/>
      <c r="Q64" s="270"/>
      <c r="R64" s="237"/>
      <c r="S64" s="271"/>
      <c r="U64" s="269"/>
    </row>
    <row r="65" spans="1:19" ht="12.75">
      <c r="A65" s="130"/>
      <c r="B65" s="272"/>
      <c r="C65" s="192"/>
      <c r="D65" s="129"/>
      <c r="E65" s="201"/>
      <c r="F65" s="129"/>
      <c r="G65" s="129"/>
      <c r="H65" s="129"/>
      <c r="I65" s="129"/>
      <c r="J65" s="196"/>
      <c r="K65" s="201"/>
      <c r="L65" s="201"/>
      <c r="M65" s="201"/>
      <c r="N65" s="201"/>
      <c r="O65" s="201"/>
      <c r="P65" s="235"/>
      <c r="Q65" s="270"/>
      <c r="R65" s="237"/>
      <c r="S65" s="241"/>
    </row>
    <row r="66" spans="1:92" ht="12.75">
      <c r="A66" s="130"/>
      <c r="B66" s="260" t="s">
        <v>396</v>
      </c>
      <c r="C66" s="182"/>
      <c r="D66" s="129"/>
      <c r="E66" s="201"/>
      <c r="F66" s="273">
        <f>'UR-Summary PAD'!B37</f>
        <v>0.048</v>
      </c>
      <c r="G66" s="129"/>
      <c r="H66" s="129"/>
      <c r="I66" s="129"/>
      <c r="J66" s="246">
        <f>ROUND(J62*F66,2)</f>
        <v>56.33</v>
      </c>
      <c r="K66" s="247">
        <f aca="true" t="shared" si="4" ref="K66:Q66">ROUND(K62*$F66,2)</f>
        <v>4.56</v>
      </c>
      <c r="L66" s="247">
        <f t="shared" si="4"/>
        <v>5.35</v>
      </c>
      <c r="M66" s="247">
        <f t="shared" si="4"/>
        <v>0.58</v>
      </c>
      <c r="N66" s="247">
        <f t="shared" si="4"/>
        <v>3.41</v>
      </c>
      <c r="O66" s="247">
        <f t="shared" si="4"/>
        <v>0</v>
      </c>
      <c r="P66" s="248">
        <f t="shared" si="4"/>
        <v>70.23</v>
      </c>
      <c r="Q66" s="247">
        <f t="shared" si="4"/>
        <v>0</v>
      </c>
      <c r="R66" s="249">
        <f>ROUND(R62*$F$66,2)</f>
        <v>70.23</v>
      </c>
      <c r="S66" s="268"/>
      <c r="CN66" s="214"/>
    </row>
    <row r="67" spans="1:80" ht="12.75">
      <c r="A67" s="130"/>
      <c r="B67" s="260" t="s">
        <v>314</v>
      </c>
      <c r="C67" s="182"/>
      <c r="D67" s="129"/>
      <c r="E67" s="201"/>
      <c r="F67" s="273">
        <f>'UR-Summary PAD'!B38</f>
        <v>0.1</v>
      </c>
      <c r="G67" s="129"/>
      <c r="H67" s="129"/>
      <c r="I67" s="129"/>
      <c r="J67" s="246">
        <f>ROUND(J62*F67,2)</f>
        <v>117.36</v>
      </c>
      <c r="K67" s="247">
        <f aca="true" t="shared" si="5" ref="K67:Q67">ROUND(K62*$F67,2)</f>
        <v>9.49</v>
      </c>
      <c r="L67" s="247">
        <f t="shared" si="5"/>
        <v>11.15</v>
      </c>
      <c r="M67" s="247">
        <f t="shared" si="5"/>
        <v>1.2</v>
      </c>
      <c r="N67" s="247">
        <f t="shared" si="5"/>
        <v>7.11</v>
      </c>
      <c r="O67" s="247">
        <f t="shared" si="5"/>
        <v>0</v>
      </c>
      <c r="P67" s="248">
        <f t="shared" si="5"/>
        <v>146.31</v>
      </c>
      <c r="Q67" s="247">
        <f t="shared" si="5"/>
        <v>0</v>
      </c>
      <c r="R67" s="249">
        <f>ROUND(R62*$F$67,2)</f>
        <v>146.31</v>
      </c>
      <c r="S67" s="268"/>
      <c r="AB67" s="214"/>
      <c r="AX67" s="214"/>
      <c r="BF67" s="214"/>
      <c r="CB67" s="214"/>
    </row>
    <row r="68" spans="1:19" ht="12.75">
      <c r="A68" s="130"/>
      <c r="B68" s="272"/>
      <c r="C68" s="192"/>
      <c r="D68" s="129"/>
      <c r="E68" s="201"/>
      <c r="F68" s="129"/>
      <c r="G68" s="129"/>
      <c r="H68" s="129"/>
      <c r="I68" s="129"/>
      <c r="J68" s="196"/>
      <c r="K68" s="201"/>
      <c r="L68" s="201"/>
      <c r="M68" s="201"/>
      <c r="N68" s="201"/>
      <c r="O68" s="201"/>
      <c r="P68" s="235"/>
      <c r="Q68" s="270"/>
      <c r="R68" s="237"/>
      <c r="S68" s="241"/>
    </row>
    <row r="69" spans="1:92" ht="13.5" thickBot="1">
      <c r="A69" s="130"/>
      <c r="B69" s="260" t="s">
        <v>397</v>
      </c>
      <c r="C69" s="182"/>
      <c r="D69" s="129"/>
      <c r="E69" s="201"/>
      <c r="F69" s="129"/>
      <c r="G69" s="129"/>
      <c r="H69" s="129"/>
      <c r="I69" s="129"/>
      <c r="J69" s="274">
        <f>SUM(J62:J67)</f>
        <v>1347.2899999999997</v>
      </c>
      <c r="K69" s="275">
        <f aca="true" t="shared" si="6" ref="K69:Q69">SUM(K62:K68)</f>
        <v>108.95</v>
      </c>
      <c r="L69" s="275">
        <f t="shared" si="6"/>
        <v>127.99999999999999</v>
      </c>
      <c r="M69" s="275">
        <f t="shared" si="6"/>
        <v>13.78</v>
      </c>
      <c r="N69" s="275">
        <f t="shared" si="6"/>
        <v>81.63</v>
      </c>
      <c r="O69" s="275">
        <f t="shared" si="6"/>
        <v>0</v>
      </c>
      <c r="P69" s="276">
        <f t="shared" si="6"/>
        <v>1679.6499999999999</v>
      </c>
      <c r="Q69" s="277">
        <f t="shared" si="6"/>
        <v>0</v>
      </c>
      <c r="R69" s="278">
        <f>SUM(R62:R67)</f>
        <v>1679.6499999999999</v>
      </c>
      <c r="S69" s="268"/>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row>
    <row r="70" spans="1:19" ht="13.5" thickBot="1">
      <c r="A70" s="130"/>
      <c r="B70" s="279"/>
      <c r="C70" s="280"/>
      <c r="D70" s="128"/>
      <c r="E70" s="281"/>
      <c r="F70" s="128"/>
      <c r="G70" s="128"/>
      <c r="H70" s="128"/>
      <c r="I70" s="128"/>
      <c r="J70" s="282"/>
      <c r="K70" s="281"/>
      <c r="L70" s="281"/>
      <c r="M70" s="281"/>
      <c r="N70" s="281"/>
      <c r="O70" s="281"/>
      <c r="P70" s="281"/>
      <c r="Q70" s="283"/>
      <c r="R70" s="284"/>
      <c r="S70" s="285"/>
    </row>
    <row r="71" ht="13.5" thickTop="1"/>
  </sheetData>
  <sheetProtection/>
  <mergeCells count="6">
    <mergeCell ref="J8:R8"/>
    <mergeCell ref="G3:R3"/>
    <mergeCell ref="G4:R4"/>
    <mergeCell ref="J5:R5"/>
    <mergeCell ref="Q6:R6"/>
    <mergeCell ref="J7:R7"/>
  </mergeCells>
  <dataValidations count="3">
    <dataValidation allowBlank="1" showInputMessage="1" showErrorMessage="1" promptTitle="IDC Contingency" prompt="Don't change these figures - change in Summary Sheet if they are required to be changed" sqref="F66:F67"/>
    <dataValidation allowBlank="1" showInputMessage="1" showErrorMessage="1" promptTitle="Manual Adjust" prompt="Please enter reason for Manual Adjustment in Comments column" sqref="Q58 Q53 Q44:Q47"/>
    <dataValidation type="list" allowBlank="1" showInputMessage="1" showErrorMessage="1" sqref="D9">
      <formula1>Sites</formula1>
    </dataValidation>
  </dataValidations>
  <hyperlinks>
    <hyperlink ref="E1" location="' UR -Summary '!A1" display="Summary"/>
  </hyperlinks>
  <printOptions gridLines="1"/>
  <pageMargins left="0.17" right="0.2" top="0.29" bottom="0.38" header="0.17" footer="0.17"/>
  <pageSetup fitToHeight="0" fitToWidth="1" horizontalDpi="600" verticalDpi="600" orientation="landscape" paperSize="8" scale="63" r:id="rId3"/>
  <headerFooter alignWithMargins="0">
    <oddHeader>&amp;R&amp;8Estimate template August 06</oddHeader>
    <oddFooter>&amp;L&amp;8&amp;D  &amp;T&amp;C&amp;8Page  &amp;P  of  &amp;N&amp;R&amp;8&amp;F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Transpower New Zealand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truyenss</dc:creator>
  <cp:keywords/>
  <dc:description/>
  <cp:lastModifiedBy>traceye</cp:lastModifiedBy>
  <dcterms:created xsi:type="dcterms:W3CDTF">2012-09-04T05:30:50Z</dcterms:created>
  <dcterms:modified xsi:type="dcterms:W3CDTF">2012-10-08T00:37:00Z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