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llaceja\Downloads\EV to RAB multiples\HED\"/>
    </mc:Choice>
  </mc:AlternateContent>
  <bookViews>
    <workbookView xWindow="0" yWindow="0" windowWidth="28800" windowHeight="13020"/>
  </bookViews>
  <sheets>
    <sheet name="Analysis" sheetId="1" r:id="rId1"/>
    <sheet name="IS" sheetId="2" r:id="rId2"/>
    <sheet name="BS" sheetId="3" r:id="rId3"/>
  </sheets>
  <definedNames>
    <definedName name="_xlnm.Print_Area" localSheetId="0">Analysis!$B$2:$C$30</definedName>
    <definedName name="_xlnm.Print_Area" localSheetId="2">BS!$B$3:$D$51</definedName>
    <definedName name="_xlnm.Print_Area" localSheetId="1">IS!$B$2:$L$19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3" i="1"/>
  <c r="E13" i="1"/>
  <c r="C13" i="1" s="1"/>
  <c r="C8" i="1"/>
  <c r="T6" i="2"/>
  <c r="S6" i="2"/>
  <c r="K25" i="2"/>
  <c r="L25" i="2"/>
  <c r="J11" i="2"/>
  <c r="J8" i="2" s="1"/>
  <c r="J7" i="2" s="1"/>
  <c r="H11" i="2"/>
  <c r="H8" i="2" s="1"/>
  <c r="H7" i="2" s="1"/>
  <c r="G11" i="2"/>
  <c r="G8" i="2" s="1"/>
  <c r="G7" i="2" s="1"/>
  <c r="F11" i="2"/>
  <c r="E11" i="2"/>
  <c r="D11" i="2"/>
  <c r="D8" i="2" s="1"/>
  <c r="D7" i="2" s="1"/>
  <c r="C11" i="2"/>
  <c r="I11" i="2"/>
  <c r="L26" i="2"/>
  <c r="K26" i="2"/>
  <c r="L24" i="2"/>
  <c r="K24" i="2"/>
  <c r="O10" i="2"/>
  <c r="P10" i="2"/>
  <c r="E10" i="2"/>
  <c r="C10" i="2"/>
  <c r="E8" i="2"/>
  <c r="E7" i="2" s="1"/>
  <c r="F8" i="2"/>
  <c r="F7" i="2" s="1"/>
  <c r="K28" i="2"/>
  <c r="L28" i="2"/>
  <c r="I29" i="2"/>
  <c r="K29" i="2" s="1"/>
  <c r="L29" i="2"/>
  <c r="K27" i="2"/>
  <c r="L27" i="2"/>
  <c r="L31" i="2"/>
  <c r="K31" i="2"/>
  <c r="F10" i="2"/>
  <c r="L10" i="2" s="1"/>
  <c r="D10" i="2"/>
  <c r="K30" i="2"/>
  <c r="P7" i="2"/>
  <c r="P8" i="2" s="1"/>
  <c r="O7" i="2"/>
  <c r="O8" i="2" s="1"/>
  <c r="K6" i="2"/>
  <c r="L6" i="2"/>
  <c r="L5" i="2"/>
  <c r="K5" i="2"/>
  <c r="N7" i="3"/>
  <c r="M7" i="3"/>
  <c r="L7" i="3"/>
  <c r="K7" i="3"/>
  <c r="J7" i="3"/>
  <c r="I7" i="3"/>
  <c r="H7" i="3"/>
  <c r="G7" i="3"/>
  <c r="P6" i="3"/>
  <c r="O6" i="3"/>
  <c r="P5" i="3"/>
  <c r="O5" i="3"/>
  <c r="D15" i="3"/>
  <c r="S6" i="3" s="1"/>
  <c r="C15" i="3"/>
  <c r="D9" i="3"/>
  <c r="S5" i="3" s="1"/>
  <c r="C9" i="3"/>
  <c r="R6" i="3" l="1"/>
  <c r="R5" i="3"/>
  <c r="I8" i="2"/>
  <c r="I7" i="2" s="1"/>
  <c r="C8" i="2"/>
  <c r="C7" i="2" s="1"/>
  <c r="K10" i="2"/>
  <c r="L7" i="2"/>
  <c r="L8" i="2" s="1"/>
  <c r="L11" i="2" s="1"/>
  <c r="R7" i="3"/>
  <c r="S7" i="3"/>
  <c r="P7" i="3"/>
  <c r="O7" i="3"/>
  <c r="C6" i="1"/>
  <c r="C9" i="1" s="1"/>
  <c r="K7" i="2" l="1"/>
  <c r="K8" i="2" s="1"/>
  <c r="K11" i="2" s="1"/>
  <c r="D36" i="3" l="1"/>
  <c r="C36" i="3"/>
  <c r="L30" i="2"/>
  <c r="T10" i="2"/>
  <c r="S10" i="2"/>
  <c r="P11" i="2" l="1"/>
  <c r="D16" i="3"/>
  <c r="C16" i="3"/>
  <c r="S7" i="2"/>
  <c r="T7" i="2"/>
  <c r="S5" i="2"/>
  <c r="D24" i="3" l="1"/>
  <c r="D26" i="3" s="1"/>
  <c r="D38" i="3" s="1"/>
  <c r="D42" i="3" s="1"/>
  <c r="C24" i="3"/>
  <c r="C26" i="3" s="1"/>
  <c r="C38" i="3" s="1"/>
  <c r="C42" i="3" s="1"/>
  <c r="T5" i="2"/>
  <c r="E16" i="1"/>
  <c r="E14" i="1"/>
  <c r="C14" i="1" s="1"/>
  <c r="P31" i="2"/>
  <c r="P34" i="2" s="1"/>
  <c r="O11" i="2"/>
  <c r="O31" i="2" s="1"/>
  <c r="O34" i="2" s="1"/>
  <c r="S8" i="2" l="1"/>
  <c r="C15" i="1"/>
  <c r="C16" i="1" s="1"/>
  <c r="C20" i="1" s="1"/>
  <c r="T8" i="2" l="1"/>
  <c r="C21" i="1"/>
  <c r="G16" i="1"/>
  <c r="K34" i="2"/>
  <c r="L34" i="2" l="1"/>
  <c r="T11" i="2"/>
  <c r="S11" i="2"/>
</calcChain>
</file>

<file path=xl/sharedStrings.xml><?xml version="1.0" encoding="utf-8"?>
<sst xmlns="http://schemas.openxmlformats.org/spreadsheetml/2006/main" count="120" uniqueCount="89">
  <si>
    <t>Revenue</t>
  </si>
  <si>
    <t>Operating expenses</t>
  </si>
  <si>
    <t>EBITDA</t>
  </si>
  <si>
    <t>Depreciation and amortisation</t>
  </si>
  <si>
    <t>Underlying EBIT</t>
  </si>
  <si>
    <t>Variance</t>
  </si>
  <si>
    <t>$000, FYE 31 March</t>
  </si>
  <si>
    <t>Trade and other receivables</t>
  </si>
  <si>
    <t>Construction contracts</t>
  </si>
  <si>
    <t>Inventories</t>
  </si>
  <si>
    <t>Current assets</t>
  </si>
  <si>
    <t>Current liabilities</t>
  </si>
  <si>
    <t>Trade and other payables</t>
  </si>
  <si>
    <t>Current tax liability</t>
  </si>
  <si>
    <t>Working Capital</t>
  </si>
  <si>
    <t>Property, plant and equipment</t>
  </si>
  <si>
    <t>Net Tangible Operating Assets</t>
  </si>
  <si>
    <t>Intangible Assets</t>
  </si>
  <si>
    <t>Net Operating Assets</t>
  </si>
  <si>
    <t>Cash and cash equivalents</t>
  </si>
  <si>
    <t>Bank borrowings - non-current</t>
  </si>
  <si>
    <t>Bank borrowings - current</t>
  </si>
  <si>
    <t>Net debt</t>
  </si>
  <si>
    <t>Net Assets</t>
  </si>
  <si>
    <t>Check</t>
  </si>
  <si>
    <t>Notes:</t>
  </si>
  <si>
    <t>$000</t>
  </si>
  <si>
    <t>000</t>
  </si>
  <si>
    <t>Implied Network Enterprise Value</t>
  </si>
  <si>
    <t>Implied Network EV / RAB transaction multiple</t>
  </si>
  <si>
    <t>Implied Network EV discount to RAB</t>
  </si>
  <si>
    <t>Sources:</t>
  </si>
  <si>
    <t>EV / EBITDA</t>
  </si>
  <si>
    <t>Less: total non-Network Enterprise Values</t>
  </si>
  <si>
    <t>Group</t>
  </si>
  <si>
    <r>
      <t xml:space="preserve">Total shares on issue </t>
    </r>
    <r>
      <rPr>
        <vertAlign val="superscript"/>
        <sz val="10"/>
        <color theme="1"/>
        <rFont val="Arial"/>
        <family val="2"/>
      </rPr>
      <t>(2)</t>
    </r>
  </si>
  <si>
    <t>(1) New Zealand Exchange website (www.nzx.com)</t>
  </si>
  <si>
    <t>(2) Horizon Energy Distribution 2014 Annual Report, note 9, page 49</t>
  </si>
  <si>
    <t>Horizon Energy Distribution trading multiple</t>
  </si>
  <si>
    <t>Horizon Energy Distribution summary Income Statement</t>
  </si>
  <si>
    <t>Horizon Energy Distribution summary Balance Sheet</t>
  </si>
  <si>
    <t>Operating profit</t>
  </si>
  <si>
    <t>Current tax assets</t>
  </si>
  <si>
    <t>Other receivables</t>
  </si>
  <si>
    <t>Employee benefit accruals</t>
  </si>
  <si>
    <t>Provisions</t>
  </si>
  <si>
    <t>Construction revenue in advance</t>
  </si>
  <si>
    <t>Deferred tax liabilities</t>
  </si>
  <si>
    <t>Electricity Distribution</t>
  </si>
  <si>
    <t>HVAC</t>
  </si>
  <si>
    <t>Electrical Contracting</t>
  </si>
  <si>
    <t>Segment assets</t>
  </si>
  <si>
    <t>Segment liabilities</t>
  </si>
  <si>
    <t>External revenue</t>
  </si>
  <si>
    <t>Internal revenue</t>
  </si>
  <si>
    <t>Reported Operating Profit</t>
  </si>
  <si>
    <t>Interest income</t>
  </si>
  <si>
    <t>Interest expense</t>
  </si>
  <si>
    <t>Fair Value movement of financial derivatives</t>
  </si>
  <si>
    <t>Income Tax Expense</t>
  </si>
  <si>
    <t>Horizon Energy Distribution 2014 Annual Report, pages 44 &amp; 45</t>
  </si>
  <si>
    <t>Horizon Energy Distribution 2014 Annual Report, pages 32, 33, 46</t>
  </si>
  <si>
    <t>Sundry income</t>
  </si>
  <si>
    <t>Net Gain on Acquisition</t>
  </si>
  <si>
    <t>Recovery of Bad Debts</t>
  </si>
  <si>
    <r>
      <t xml:space="preserve">Restricted bank deposits </t>
    </r>
    <r>
      <rPr>
        <vertAlign val="superscript"/>
        <sz val="10"/>
        <color theme="1"/>
        <rFont val="Arial"/>
        <family val="2"/>
      </rPr>
      <t>(2)</t>
    </r>
  </si>
  <si>
    <r>
      <t xml:space="preserve">Deferred capital contributions </t>
    </r>
    <r>
      <rPr>
        <vertAlign val="superscript"/>
        <sz val="10"/>
        <color theme="1"/>
        <rFont val="Arial"/>
        <family val="2"/>
      </rPr>
      <t>(1)</t>
    </r>
  </si>
  <si>
    <t>(1)  Discretionary capital contributions from local authorities for the construction of network distribution assets.  
        Deferred income amortised over 45 years</t>
  </si>
  <si>
    <r>
      <t xml:space="preserve">Derivative financial instruments </t>
    </r>
    <r>
      <rPr>
        <vertAlign val="superscript"/>
        <sz val="10"/>
        <color theme="1"/>
        <rFont val="Arial"/>
        <family val="2"/>
      </rPr>
      <t>(3)</t>
    </r>
  </si>
  <si>
    <t>(3)  Interest rate swaps</t>
  </si>
  <si>
    <t>Horizon Energy Distribution 2014 Annual Report, pages 18, 44-46</t>
  </si>
  <si>
    <r>
      <t xml:space="preserve">Underlying EBITDA </t>
    </r>
    <r>
      <rPr>
        <vertAlign val="superscript"/>
        <sz val="10"/>
        <color theme="1"/>
        <rFont val="Arial"/>
        <family val="2"/>
      </rPr>
      <t>(1)</t>
    </r>
  </si>
  <si>
    <t>(1)  Excludes other income comprising sundry income, net gain on acquisition and recovery of bad debts</t>
  </si>
  <si>
    <t>Elimination</t>
  </si>
  <si>
    <r>
      <t>Shareholders' Equity</t>
    </r>
    <r>
      <rPr>
        <sz val="10"/>
        <color theme="1"/>
        <rFont val="Arial"/>
        <family val="2"/>
      </rPr>
      <t xml:space="preserve"> </t>
    </r>
    <r>
      <rPr>
        <vertAlign val="superscript"/>
        <sz val="10"/>
        <color theme="1"/>
        <rFont val="Arial"/>
        <family val="2"/>
      </rPr>
      <t>(4)</t>
    </r>
  </si>
  <si>
    <t>Horizon Energy Distribution 2014 Annual Report, pages 32, 33, 49, 56, 57</t>
  </si>
  <si>
    <t>(4)  24,991,385 issued and fully paid up ordinary shares</t>
  </si>
  <si>
    <r>
      <rPr>
        <i/>
        <sz val="10"/>
        <color theme="1"/>
        <rFont val="Arial"/>
        <family val="2"/>
      </rPr>
      <t>Plus:</t>
    </r>
    <r>
      <rPr>
        <sz val="10"/>
        <color theme="1"/>
        <rFont val="Arial"/>
        <family val="2"/>
      </rPr>
      <t xml:space="preserve"> Net Debt</t>
    </r>
  </si>
  <si>
    <r>
      <t xml:space="preserve">HVAC Construction and Servicing </t>
    </r>
    <r>
      <rPr>
        <vertAlign val="superscript"/>
        <sz val="10"/>
        <color theme="1"/>
        <rFont val="Arial"/>
        <family val="2"/>
      </rPr>
      <t>(3)</t>
    </r>
  </si>
  <si>
    <r>
      <t xml:space="preserve">Electrical Contracting </t>
    </r>
    <r>
      <rPr>
        <vertAlign val="superscript"/>
        <sz val="10"/>
        <color theme="1"/>
        <rFont val="Arial"/>
        <family val="2"/>
      </rPr>
      <t>(4)</t>
    </r>
  </si>
  <si>
    <r>
      <t xml:space="preserve">Network RAB </t>
    </r>
    <r>
      <rPr>
        <vertAlign val="superscript"/>
        <sz val="10"/>
        <color theme="1"/>
        <rFont val="Arial"/>
        <family val="2"/>
      </rPr>
      <t>(5)</t>
    </r>
  </si>
  <si>
    <t>(5)  Information Disclosure 31 March 2014, page 6</t>
  </si>
  <si>
    <t>(4) Assuming 3.0x FY14 Division EBITDA of $2.2m</t>
  </si>
  <si>
    <t>Trading Enterprise Value</t>
  </si>
  <si>
    <t>Trading Equity Value</t>
  </si>
  <si>
    <t>(2)  Cash deposited into term investment accounts as security for performance guarantees</t>
  </si>
  <si>
    <t>Segment Net Assets</t>
  </si>
  <si>
    <r>
      <t xml:space="preserve">Current share price (NZ$) </t>
    </r>
    <r>
      <rPr>
        <vertAlign val="superscript"/>
        <sz val="10"/>
        <color theme="1"/>
        <rFont val="Arial"/>
        <family val="2"/>
      </rPr>
      <t>(1)</t>
    </r>
  </si>
  <si>
    <t>(3) Assuming 3.0x FY14 Division EBITDA of $1.0m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</si>
</sst>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d\ mmm\ yy"/>
    <numFmt numFmtId="165" formatCode="&quot;FY&quot;yy"/>
    <numFmt numFmtId="166" formatCode="#,##0_);\(#,##0\);\-_);@_)"/>
    <numFmt numFmtId="167" formatCode="0.0%_);\(0.0%\);\-_);@_)"/>
    <numFmt numFmtId="168" formatCode="&quot;$&quot;#,##0_);\(&quot;$&quot;#,##0\);\-_);@_)"/>
    <numFmt numFmtId="169" formatCode="0.0\x_);\(0.0\x\);\-_x_);@_x_)"/>
    <numFmt numFmtId="170" formatCode="0.00\x_);\(0.00\x\);\-_x_);@_x_)"/>
    <numFmt numFmtId="171" formatCode="&quot;$&quot;#,##0.00_);\(&quot;$&quot;#,##0.00\);\-_);@_)"/>
  </numFmts>
  <fonts count="16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10"/>
      <color theme="1"/>
      <name val="Arial"/>
      <family val="2"/>
    </font>
    <font>
      <b/>
      <i/>
      <sz val="10"/>
      <color theme="0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10"/>
      <name val="Arial"/>
      <family val="2"/>
    </font>
    <font>
      <sz val="10"/>
      <color rgb="FF00206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dotted">
        <color theme="8" tint="-0.24994659260841701"/>
      </left>
      <right/>
      <top/>
      <bottom/>
      <diagonal/>
    </border>
    <border>
      <left/>
      <right/>
      <top/>
      <bottom style="thin">
        <color theme="8" tint="-0.24994659260841701"/>
      </bottom>
      <diagonal/>
    </border>
    <border>
      <left style="dotted">
        <color theme="8" tint="-0.24994659260841701"/>
      </left>
      <right/>
      <top/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/>
      <diagonal/>
    </border>
    <border>
      <left style="dotted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 style="dotted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/>
      <bottom/>
      <diagonal/>
    </border>
    <border>
      <left style="thin">
        <color theme="8" tint="-0.24994659260841701"/>
      </left>
      <right/>
      <top/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 style="dotted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  <border>
      <left/>
      <right style="thin">
        <color theme="8" tint="-0.24994659260841701"/>
      </right>
      <top/>
      <bottom/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 style="thin">
        <color theme="8" tint="-0.24994659260841701"/>
      </left>
      <right/>
      <top style="thin">
        <color theme="0"/>
      </top>
      <bottom/>
      <diagonal/>
    </border>
    <border>
      <left/>
      <right style="thin">
        <color theme="8" tint="-0.24994659260841701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8" tint="-0.24994659260841701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8" tint="-0.24994659260841701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8" tint="-0.24994659260841701"/>
      </top>
      <bottom/>
      <diagonal/>
    </border>
    <border>
      <left/>
      <right style="thin">
        <color theme="0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0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dotted">
        <color theme="8" tint="-0.24994659260841701"/>
      </top>
      <bottom/>
      <diagonal/>
    </border>
    <border>
      <left style="dotted">
        <color theme="8" tint="-0.24994659260841701"/>
      </left>
      <right/>
      <top style="dotted">
        <color theme="8" tint="-0.24994659260841701"/>
      </top>
      <bottom/>
      <diagonal/>
    </border>
    <border>
      <left style="thin">
        <color theme="8" tint="-0.24994659260841701"/>
      </left>
      <right/>
      <top style="dotted">
        <color theme="8" tint="-0.24994659260841701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2" xfId="0" applyFont="1" applyBorder="1"/>
    <xf numFmtId="165" fontId="3" fillId="0" borderId="2" xfId="0" applyNumberFormat="1" applyFont="1" applyBorder="1"/>
    <xf numFmtId="165" fontId="3" fillId="0" borderId="3" xfId="0" applyNumberFormat="1" applyFont="1" applyBorder="1"/>
    <xf numFmtId="0" fontId="2" fillId="0" borderId="0" xfId="0" applyFont="1" applyBorder="1"/>
    <xf numFmtId="0" fontId="2" fillId="0" borderId="4" xfId="0" applyFont="1" applyBorder="1"/>
    <xf numFmtId="166" fontId="2" fillId="0" borderId="0" xfId="0" applyNumberFormat="1" applyFont="1"/>
    <xf numFmtId="166" fontId="2" fillId="0" borderId="1" xfId="0" applyNumberFormat="1" applyFont="1" applyBorder="1"/>
    <xf numFmtId="166" fontId="2" fillId="0" borderId="0" xfId="0" applyNumberFormat="1" applyFont="1" applyBorder="1"/>
    <xf numFmtId="166" fontId="2" fillId="0" borderId="4" xfId="0" applyNumberFormat="1" applyFont="1" applyBorder="1"/>
    <xf numFmtId="0" fontId="3" fillId="0" borderId="4" xfId="0" applyFont="1" applyBorder="1"/>
    <xf numFmtId="166" fontId="3" fillId="0" borderId="4" xfId="0" applyNumberFormat="1" applyFont="1" applyBorder="1"/>
    <xf numFmtId="166" fontId="3" fillId="0" borderId="5" xfId="0" applyNumberFormat="1" applyFont="1" applyBorder="1"/>
    <xf numFmtId="0" fontId="3" fillId="0" borderId="6" xfId="0" applyFont="1" applyBorder="1"/>
    <xf numFmtId="166" fontId="3" fillId="0" borderId="6" xfId="0" applyNumberFormat="1" applyFont="1" applyBorder="1"/>
    <xf numFmtId="166" fontId="3" fillId="0" borderId="7" xfId="0" applyNumberFormat="1" applyFont="1" applyBorder="1"/>
    <xf numFmtId="165" fontId="3" fillId="0" borderId="9" xfId="0" applyNumberFormat="1" applyFont="1" applyBorder="1"/>
    <xf numFmtId="166" fontId="2" fillId="0" borderId="8" xfId="0" applyNumberFormat="1" applyFont="1" applyBorder="1"/>
    <xf numFmtId="166" fontId="3" fillId="0" borderId="10" xfId="0" applyNumberFormat="1" applyFont="1" applyBorder="1"/>
    <xf numFmtId="166" fontId="3" fillId="0" borderId="11" xfId="0" applyNumberFormat="1" applyFont="1" applyBorder="1"/>
    <xf numFmtId="0" fontId="1" fillId="2" borderId="12" xfId="0" applyFont="1" applyFill="1" applyBorder="1" applyAlignment="1">
      <alignment vertical="center"/>
    </xf>
    <xf numFmtId="0" fontId="4" fillId="0" borderId="4" xfId="0" applyFont="1" applyBorder="1"/>
    <xf numFmtId="0" fontId="4" fillId="0" borderId="0" xfId="0" applyFont="1"/>
    <xf numFmtId="166" fontId="4" fillId="0" borderId="10" xfId="0" applyNumberFormat="1" applyFont="1" applyBorder="1"/>
    <xf numFmtId="166" fontId="4" fillId="0" borderId="4" xfId="0" applyNumberFormat="1" applyFont="1" applyBorder="1"/>
    <xf numFmtId="165" fontId="4" fillId="0" borderId="9" xfId="0" applyNumberFormat="1" applyFont="1" applyBorder="1"/>
    <xf numFmtId="166" fontId="5" fillId="0" borderId="8" xfId="0" applyNumberFormat="1" applyFont="1" applyBorder="1"/>
    <xf numFmtId="166" fontId="4" fillId="0" borderId="11" xfId="0" applyNumberFormat="1" applyFont="1" applyBorder="1"/>
    <xf numFmtId="0" fontId="3" fillId="0" borderId="13" xfId="0" applyFont="1" applyBorder="1"/>
    <xf numFmtId="166" fontId="3" fillId="0" borderId="13" xfId="0" applyNumberFormat="1" applyFont="1" applyBorder="1"/>
    <xf numFmtId="0" fontId="3" fillId="0" borderId="0" xfId="0" applyFont="1" applyBorder="1"/>
    <xf numFmtId="0" fontId="5" fillId="0" borderId="0" xfId="0" applyFont="1"/>
    <xf numFmtId="166" fontId="5" fillId="0" borderId="0" xfId="0" applyNumberFormat="1" applyFont="1"/>
    <xf numFmtId="166" fontId="3" fillId="0" borderId="14" xfId="0" applyNumberFormat="1" applyFont="1" applyBorder="1"/>
    <xf numFmtId="166" fontId="3" fillId="0" borderId="15" xfId="0" applyNumberFormat="1" applyFont="1" applyBorder="1"/>
    <xf numFmtId="0" fontId="6" fillId="0" borderId="0" xfId="0" applyFont="1"/>
    <xf numFmtId="0" fontId="7" fillId="0" borderId="0" xfId="0" applyFont="1"/>
    <xf numFmtId="0" fontId="9" fillId="2" borderId="12" xfId="0" applyFont="1" applyFill="1" applyBorder="1" applyAlignment="1">
      <alignment vertical="center"/>
    </xf>
    <xf numFmtId="0" fontId="10" fillId="0" borderId="0" xfId="0" applyFont="1"/>
    <xf numFmtId="0" fontId="11" fillId="0" borderId="0" xfId="0" applyFont="1"/>
    <xf numFmtId="165" fontId="4" fillId="0" borderId="16" xfId="0" applyNumberFormat="1" applyFont="1" applyBorder="1"/>
    <xf numFmtId="166" fontId="5" fillId="0" borderId="17" xfId="0" applyNumberFormat="1" applyFont="1" applyBorder="1"/>
    <xf numFmtId="166" fontId="4" fillId="0" borderId="14" xfId="0" applyNumberFormat="1" applyFont="1" applyBorder="1"/>
    <xf numFmtId="166" fontId="4" fillId="0" borderId="19" xfId="0" applyNumberFormat="1" applyFont="1" applyBorder="1"/>
    <xf numFmtId="166" fontId="4" fillId="0" borderId="20" xfId="0" applyNumberFormat="1" applyFont="1" applyBorder="1"/>
    <xf numFmtId="166" fontId="4" fillId="0" borderId="18" xfId="0" applyNumberFormat="1" applyFont="1" applyBorder="1"/>
    <xf numFmtId="0" fontId="2" fillId="0" borderId="13" xfId="0" applyFont="1" applyBorder="1"/>
    <xf numFmtId="0" fontId="3" fillId="0" borderId="2" xfId="0" quotePrefix="1" applyFont="1" applyBorder="1"/>
    <xf numFmtId="168" fontId="3" fillId="0" borderId="6" xfId="0" applyNumberFormat="1" applyFont="1" applyBorder="1"/>
    <xf numFmtId="164" fontId="3" fillId="0" borderId="2" xfId="0" applyNumberFormat="1" applyFont="1" applyBorder="1"/>
    <xf numFmtId="168" fontId="3" fillId="0" borderId="13" xfId="0" applyNumberFormat="1" applyFont="1" applyBorder="1"/>
    <xf numFmtId="166" fontId="2" fillId="0" borderId="13" xfId="0" applyNumberFormat="1" applyFont="1" applyBorder="1"/>
    <xf numFmtId="0" fontId="3" fillId="0" borderId="21" xfId="0" applyFont="1" applyBorder="1"/>
    <xf numFmtId="167" fontId="4" fillId="0" borderId="21" xfId="0" applyNumberFormat="1" applyFont="1" applyBorder="1"/>
    <xf numFmtId="168" fontId="12" fillId="0" borderId="0" xfId="0" applyNumberFormat="1" applyFont="1" applyBorder="1"/>
    <xf numFmtId="169" fontId="2" fillId="0" borderId="0" xfId="0" applyNumberFormat="1" applyFont="1"/>
    <xf numFmtId="169" fontId="13" fillId="0" borderId="0" xfId="0" applyNumberFormat="1" applyFont="1"/>
    <xf numFmtId="166" fontId="14" fillId="0" borderId="4" xfId="0" applyNumberFormat="1" applyFont="1" applyBorder="1"/>
    <xf numFmtId="166" fontId="14" fillId="0" borderId="0" xfId="0" applyNumberFormat="1" applyFont="1"/>
    <xf numFmtId="0" fontId="3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165" fontId="3" fillId="0" borderId="24" xfId="0" applyNumberFormat="1" applyFont="1" applyBorder="1"/>
    <xf numFmtId="0" fontId="1" fillId="2" borderId="26" xfId="0" applyFont="1" applyFill="1" applyBorder="1" applyAlignment="1">
      <alignment vertical="center"/>
    </xf>
    <xf numFmtId="165" fontId="3" fillId="0" borderId="27" xfId="0" applyNumberFormat="1" applyFont="1" applyBorder="1"/>
    <xf numFmtId="166" fontId="2" fillId="0" borderId="28" xfId="0" applyNumberFormat="1" applyFont="1" applyBorder="1"/>
    <xf numFmtId="166" fontId="2" fillId="0" borderId="29" xfId="0" applyNumberFormat="1" applyFont="1" applyBorder="1"/>
    <xf numFmtId="166" fontId="3" fillId="0" borderId="30" xfId="0" applyNumberFormat="1" applyFont="1" applyBorder="1"/>
    <xf numFmtId="166" fontId="3" fillId="0" borderId="31" xfId="0" applyNumberFormat="1" applyFont="1" applyBorder="1"/>
    <xf numFmtId="0" fontId="2" fillId="0" borderId="28" xfId="0" applyFont="1" applyBorder="1"/>
    <xf numFmtId="170" fontId="3" fillId="0" borderId="4" xfId="0" applyNumberFormat="1" applyFont="1" applyBorder="1"/>
    <xf numFmtId="0" fontId="14" fillId="0" borderId="0" xfId="0" applyFont="1"/>
    <xf numFmtId="0" fontId="3" fillId="0" borderId="0" xfId="0" applyFont="1" applyAlignment="1">
      <alignment horizontal="center"/>
    </xf>
    <xf numFmtId="171" fontId="2" fillId="0" borderId="0" xfId="0" applyNumberFormat="1" applyFont="1"/>
    <xf numFmtId="166" fontId="2" fillId="3" borderId="0" xfId="0" applyNumberFormat="1" applyFont="1" applyFill="1"/>
    <xf numFmtId="166" fontId="2" fillId="3" borderId="1" xfId="0" applyNumberFormat="1" applyFont="1" applyFill="1" applyBorder="1"/>
    <xf numFmtId="166" fontId="2" fillId="3" borderId="0" xfId="0" applyNumberFormat="1" applyFont="1" applyFill="1" applyBorder="1"/>
    <xf numFmtId="0" fontId="2" fillId="0" borderId="32" xfId="0" applyFont="1" applyBorder="1"/>
    <xf numFmtId="166" fontId="2" fillId="0" borderId="32" xfId="0" applyNumberFormat="1" applyFont="1" applyBorder="1"/>
    <xf numFmtId="166" fontId="2" fillId="0" borderId="33" xfId="0" applyNumberFormat="1" applyFont="1" applyBorder="1"/>
    <xf numFmtId="166" fontId="2" fillId="0" borderId="34" xfId="0" applyNumberFormat="1" applyFont="1" applyBorder="1"/>
    <xf numFmtId="0" fontId="15" fillId="0" borderId="0" xfId="0" applyFont="1" applyAlignment="1">
      <alignment vertical="top"/>
    </xf>
    <xf numFmtId="168" fontId="14" fillId="0" borderId="0" xfId="0" applyNumberFormat="1" applyFo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2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5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3"/>
  <sheetViews>
    <sheetView showGridLines="0" tabSelected="1" zoomScaleNormal="100" workbookViewId="0"/>
  </sheetViews>
  <sheetFormatPr defaultRowHeight="12.75" outlineLevelCol="1" x14ac:dyDescent="0.2"/>
  <cols>
    <col min="1" max="1" width="2.7109375" style="1" customWidth="1"/>
    <col min="2" max="2" width="45.7109375" style="1" customWidth="1"/>
    <col min="3" max="3" width="14.7109375" style="1" customWidth="1"/>
    <col min="4" max="4" width="2.7109375" style="1" customWidth="1"/>
    <col min="5" max="6" width="12.7109375" style="1" customWidth="1" outlineLevel="1"/>
    <col min="7" max="8" width="9.140625" style="1" customWidth="1" outlineLevel="1"/>
    <col min="9" max="16384" width="9.140625" style="1"/>
  </cols>
  <sheetData>
    <row r="2" spans="2:8" ht="20.100000000000001" customHeight="1" x14ac:dyDescent="0.2">
      <c r="B2" s="22" t="s">
        <v>38</v>
      </c>
      <c r="C2" s="22"/>
    </row>
    <row r="3" spans="2:8" x14ac:dyDescent="0.2">
      <c r="B3" s="49" t="s">
        <v>27</v>
      </c>
      <c r="C3" s="51">
        <v>41879</v>
      </c>
    </row>
    <row r="4" spans="2:8" ht="14.25" x14ac:dyDescent="0.2">
      <c r="B4" s="1" t="s">
        <v>87</v>
      </c>
      <c r="C4" s="75">
        <v>3.33</v>
      </c>
    </row>
    <row r="5" spans="2:8" ht="14.25" x14ac:dyDescent="0.2">
      <c r="B5" s="1" t="s">
        <v>35</v>
      </c>
      <c r="C5" s="8">
        <v>24991.384999999998</v>
      </c>
    </row>
    <row r="6" spans="2:8" x14ac:dyDescent="0.2">
      <c r="B6" s="30" t="s">
        <v>84</v>
      </c>
      <c r="C6" s="52">
        <f>C4*C5</f>
        <v>83221.312049999993</v>
      </c>
    </row>
    <row r="8" spans="2:8" x14ac:dyDescent="0.2">
      <c r="B8" s="1" t="s">
        <v>77</v>
      </c>
      <c r="C8" s="84">
        <f>-BS!D36</f>
        <v>34597</v>
      </c>
    </row>
    <row r="9" spans="2:8" ht="13.5" thickBot="1" x14ac:dyDescent="0.25">
      <c r="B9" s="15" t="s">
        <v>83</v>
      </c>
      <c r="C9" s="50">
        <f>SUM(C6,C8)</f>
        <v>117818.31204999999</v>
      </c>
    </row>
    <row r="12" spans="2:8" ht="15" customHeight="1" x14ac:dyDescent="0.2">
      <c r="B12" s="49" t="s">
        <v>26</v>
      </c>
      <c r="C12" s="51"/>
      <c r="E12" s="61" t="s">
        <v>2</v>
      </c>
      <c r="F12" s="61" t="s">
        <v>23</v>
      </c>
      <c r="G12" s="86" t="s">
        <v>32</v>
      </c>
      <c r="H12" s="85"/>
    </row>
    <row r="13" spans="2:8" ht="14.25" x14ac:dyDescent="0.2">
      <c r="B13" s="7" t="s">
        <v>78</v>
      </c>
      <c r="C13" s="59">
        <f>-E13*G13</f>
        <v>-3057</v>
      </c>
      <c r="E13" s="60">
        <f>IS!F8</f>
        <v>1019</v>
      </c>
      <c r="F13" s="60">
        <f>BS!J7</f>
        <v>1835</v>
      </c>
      <c r="G13" s="58">
        <v>3</v>
      </c>
    </row>
    <row r="14" spans="2:8" ht="14.25" x14ac:dyDescent="0.2">
      <c r="B14" s="1" t="s">
        <v>79</v>
      </c>
      <c r="C14" s="60">
        <f>-E14*G14</f>
        <v>-6630</v>
      </c>
      <c r="E14" s="60">
        <f>IS!H8</f>
        <v>2210</v>
      </c>
      <c r="F14" s="60">
        <f>BS!L7</f>
        <v>3201</v>
      </c>
      <c r="G14" s="58">
        <v>3</v>
      </c>
    </row>
    <row r="15" spans="2:8" x14ac:dyDescent="0.2">
      <c r="B15" s="48" t="s">
        <v>33</v>
      </c>
      <c r="C15" s="53">
        <f>SUM(C13:C14)</f>
        <v>-9687</v>
      </c>
      <c r="E15" s="73"/>
      <c r="F15" s="73"/>
    </row>
    <row r="16" spans="2:8" ht="13.5" thickBot="1" x14ac:dyDescent="0.25">
      <c r="B16" s="15" t="s">
        <v>28</v>
      </c>
      <c r="C16" s="50">
        <f>SUM(C9,C15)</f>
        <v>108131.31204999999</v>
      </c>
      <c r="E16" s="60">
        <f>IS!D8</f>
        <v>12790</v>
      </c>
      <c r="F16" s="60"/>
      <c r="G16" s="57">
        <f>C16/E16</f>
        <v>8.4543637255668482</v>
      </c>
    </row>
    <row r="18" spans="2:3" ht="14.25" x14ac:dyDescent="0.2">
      <c r="B18" s="32" t="s">
        <v>80</v>
      </c>
      <c r="C18" s="56">
        <v>110624</v>
      </c>
    </row>
    <row r="20" spans="2:3" ht="13.5" customHeight="1" x14ac:dyDescent="0.2">
      <c r="B20" s="12" t="s">
        <v>29</v>
      </c>
      <c r="C20" s="72">
        <f>C16/C18</f>
        <v>0.97746702388270168</v>
      </c>
    </row>
    <row r="21" spans="2:3" ht="13.5" customHeight="1" thickBot="1" x14ac:dyDescent="0.25">
      <c r="B21" s="54" t="s">
        <v>30</v>
      </c>
      <c r="C21" s="55">
        <f>C16/C18-1</f>
        <v>-2.253297611729832E-2</v>
      </c>
    </row>
    <row r="23" spans="2:3" s="38" customFormat="1" ht="11.25" x14ac:dyDescent="0.2">
      <c r="B23" s="38" t="s">
        <v>31</v>
      </c>
    </row>
    <row r="24" spans="2:3" s="37" customFormat="1" ht="12.95" customHeight="1" x14ac:dyDescent="0.2">
      <c r="B24" s="37" t="s">
        <v>36</v>
      </c>
    </row>
    <row r="25" spans="2:3" s="37" customFormat="1" ht="12.95" customHeight="1" x14ac:dyDescent="0.2">
      <c r="B25" s="37" t="s">
        <v>37</v>
      </c>
    </row>
    <row r="26" spans="2:3" s="37" customFormat="1" ht="12.95" customHeight="1" x14ac:dyDescent="0.2">
      <c r="B26" s="37" t="s">
        <v>81</v>
      </c>
    </row>
    <row r="27" spans="2:3" s="37" customFormat="1" ht="11.25" x14ac:dyDescent="0.2"/>
    <row r="28" spans="2:3" s="38" customFormat="1" ht="11.25" x14ac:dyDescent="0.2">
      <c r="B28" s="38" t="s">
        <v>25</v>
      </c>
    </row>
    <row r="29" spans="2:3" s="37" customFormat="1" ht="12.95" customHeight="1" x14ac:dyDescent="0.2">
      <c r="B29" s="37" t="s">
        <v>88</v>
      </c>
    </row>
    <row r="30" spans="2:3" s="37" customFormat="1" ht="12.95" customHeight="1" x14ac:dyDescent="0.2">
      <c r="B30" s="37" t="s">
        <v>82</v>
      </c>
    </row>
    <row r="31" spans="2:3" s="37" customFormat="1" ht="11.25" x14ac:dyDescent="0.2"/>
    <row r="32" spans="2:3" s="37" customFormat="1" ht="11.25" x14ac:dyDescent="0.2"/>
    <row r="33" s="37" customFormat="1" ht="11.25" x14ac:dyDescent="0.2"/>
  </sheetData>
  <pageMargins left="0.7" right="0.7" top="0.75" bottom="0.75" header="0.3" footer="0.3"/>
  <pageSetup paperSize="9" orientation="portrait" r:id="rId1"/>
  <ignoredErrors>
    <ignoredError sqref="B3 B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6"/>
  <sheetViews>
    <sheetView showGridLines="0" zoomScaleNormal="100" workbookViewId="0"/>
  </sheetViews>
  <sheetFormatPr defaultRowHeight="12.75" outlineLevelRow="2" outlineLevelCol="1" x14ac:dyDescent="0.2"/>
  <cols>
    <col min="1" max="1" width="2.7109375" style="1" customWidth="1"/>
    <col min="2" max="2" width="35.7109375" style="1" customWidth="1"/>
    <col min="3" max="12" width="10.7109375" style="1" customWidth="1"/>
    <col min="13" max="13" width="2.7109375" style="1" customWidth="1"/>
    <col min="14" max="14" width="40.7109375" style="1" customWidth="1"/>
    <col min="15" max="16" width="16.7109375" style="1" customWidth="1"/>
    <col min="17" max="18" width="2.7109375" style="1" customWidth="1"/>
    <col min="19" max="20" width="9.140625" style="33" hidden="1" customWidth="1" outlineLevel="1"/>
    <col min="21" max="21" width="2.7109375" style="1" hidden="1" customWidth="1" outlineLevel="1"/>
    <col min="22" max="22" width="9.140625" style="1" collapsed="1"/>
    <col min="23" max="16384" width="9.140625" style="1"/>
  </cols>
  <sheetData>
    <row r="2" spans="2:20" ht="20.100000000000001" customHeight="1" x14ac:dyDescent="0.2">
      <c r="B2" s="22" t="s">
        <v>39</v>
      </c>
      <c r="C2" s="22"/>
      <c r="D2" s="22"/>
      <c r="E2" s="22"/>
      <c r="F2" s="22"/>
      <c r="G2" s="22"/>
      <c r="H2" s="22"/>
      <c r="I2" s="22"/>
      <c r="J2" s="22"/>
      <c r="K2" s="22"/>
      <c r="L2" s="22"/>
      <c r="N2" s="22" t="s">
        <v>39</v>
      </c>
      <c r="O2" s="22"/>
      <c r="P2" s="22"/>
      <c r="S2" s="39"/>
      <c r="T2" s="39"/>
    </row>
    <row r="3" spans="2:20" x14ac:dyDescent="0.2">
      <c r="B3" s="2"/>
      <c r="C3" s="90" t="s">
        <v>48</v>
      </c>
      <c r="D3" s="90"/>
      <c r="E3" s="91" t="s">
        <v>49</v>
      </c>
      <c r="F3" s="92"/>
      <c r="G3" s="91" t="s">
        <v>50</v>
      </c>
      <c r="H3" s="92"/>
      <c r="I3" s="91" t="s">
        <v>73</v>
      </c>
      <c r="J3" s="92"/>
      <c r="K3" s="93" t="s">
        <v>34</v>
      </c>
      <c r="L3" s="92"/>
      <c r="N3" s="2"/>
      <c r="O3" s="87"/>
      <c r="P3" s="87"/>
      <c r="S3" s="88" t="s">
        <v>5</v>
      </c>
      <c r="T3" s="89"/>
    </row>
    <row r="4" spans="2:20" x14ac:dyDescent="0.2">
      <c r="B4" s="3" t="s">
        <v>6</v>
      </c>
      <c r="C4" s="4">
        <v>41364</v>
      </c>
      <c r="D4" s="4">
        <v>41729</v>
      </c>
      <c r="E4" s="5">
        <v>41364</v>
      </c>
      <c r="F4" s="4">
        <v>41729</v>
      </c>
      <c r="G4" s="5">
        <v>41364</v>
      </c>
      <c r="H4" s="4">
        <v>41729</v>
      </c>
      <c r="I4" s="5">
        <v>41364</v>
      </c>
      <c r="J4" s="4">
        <v>41729</v>
      </c>
      <c r="K4" s="18">
        <v>41364</v>
      </c>
      <c r="L4" s="4">
        <v>41729</v>
      </c>
      <c r="N4" s="3" t="s">
        <v>6</v>
      </c>
      <c r="O4" s="4">
        <v>41364</v>
      </c>
      <c r="P4" s="4">
        <v>41729</v>
      </c>
      <c r="S4" s="27">
        <v>41364</v>
      </c>
      <c r="T4" s="42">
        <v>41729</v>
      </c>
    </row>
    <row r="5" spans="2:20" x14ac:dyDescent="0.2">
      <c r="B5" s="1" t="s">
        <v>53</v>
      </c>
      <c r="C5" s="8">
        <v>31138</v>
      </c>
      <c r="D5" s="8">
        <v>30220</v>
      </c>
      <c r="E5" s="9">
        <v>27316</v>
      </c>
      <c r="F5" s="10">
        <v>65164</v>
      </c>
      <c r="G5" s="9">
        <v>8670</v>
      </c>
      <c r="H5" s="10">
        <v>9004</v>
      </c>
      <c r="I5" s="9">
        <v>0</v>
      </c>
      <c r="J5" s="10">
        <v>0</v>
      </c>
      <c r="K5" s="19">
        <f>SUM(C5,E5,G5,I5)</f>
        <v>67124</v>
      </c>
      <c r="L5" s="10">
        <f t="shared" ref="L5" si="0">SUM(D5,F5,H5,J5)</f>
        <v>104388</v>
      </c>
      <c r="N5" s="1" t="s">
        <v>0</v>
      </c>
      <c r="O5" s="10">
        <v>67124</v>
      </c>
      <c r="P5" s="10">
        <v>104388</v>
      </c>
      <c r="S5" s="28">
        <f t="shared" ref="S5" si="1">O5-K5</f>
        <v>0</v>
      </c>
      <c r="T5" s="43">
        <f t="shared" ref="T5" si="2">P5-L5</f>
        <v>0</v>
      </c>
    </row>
    <row r="6" spans="2:20" x14ac:dyDescent="0.2">
      <c r="B6" s="1" t="s">
        <v>54</v>
      </c>
      <c r="C6" s="8">
        <v>0</v>
      </c>
      <c r="D6" s="8">
        <v>0</v>
      </c>
      <c r="E6" s="9"/>
      <c r="F6" s="10">
        <v>0</v>
      </c>
      <c r="G6" s="9">
        <v>8958</v>
      </c>
      <c r="H6" s="10">
        <v>10811</v>
      </c>
      <c r="I6" s="9">
        <v>-8958</v>
      </c>
      <c r="J6" s="10">
        <v>-10811</v>
      </c>
      <c r="K6" s="19">
        <f>SUM(C6,E6,G6,I6)</f>
        <v>0</v>
      </c>
      <c r="L6" s="10">
        <f t="shared" ref="L6" si="3">SUM(D6,F6,H6,J6)</f>
        <v>0</v>
      </c>
      <c r="O6" s="10"/>
      <c r="P6" s="10"/>
      <c r="S6" s="28">
        <f t="shared" ref="S6" si="4">O6-K6</f>
        <v>0</v>
      </c>
      <c r="T6" s="43">
        <f t="shared" ref="T6" si="5">P6-L6</f>
        <v>0</v>
      </c>
    </row>
    <row r="7" spans="2:20" x14ac:dyDescent="0.2">
      <c r="B7" s="1" t="s">
        <v>1</v>
      </c>
      <c r="C7" s="8">
        <f t="shared" ref="C7:E7" si="6">C8-SUM(C5:C6)</f>
        <v>-17639</v>
      </c>
      <c r="D7" s="8">
        <f t="shared" si="6"/>
        <v>-17430</v>
      </c>
      <c r="E7" s="9">
        <f t="shared" si="6"/>
        <v>-32164</v>
      </c>
      <c r="F7" s="10">
        <f>F8-SUM(F5:F6)</f>
        <v>-64145</v>
      </c>
      <c r="G7" s="9">
        <f t="shared" ref="G7:J7" si="7">G8-SUM(G5:G6)</f>
        <v>-15719</v>
      </c>
      <c r="H7" s="10">
        <f t="shared" si="7"/>
        <v>-17605</v>
      </c>
      <c r="I7" s="9">
        <f t="shared" si="7"/>
        <v>8016</v>
      </c>
      <c r="J7" s="10">
        <f t="shared" si="7"/>
        <v>9813</v>
      </c>
      <c r="K7" s="19">
        <f t="shared" ref="K7:L7" si="8">SUM(C7,E7,G7,I7)</f>
        <v>-57506</v>
      </c>
      <c r="L7" s="10">
        <f t="shared" si="8"/>
        <v>-89367</v>
      </c>
      <c r="N7" s="1" t="s">
        <v>1</v>
      </c>
      <c r="O7" s="10">
        <f>-62594-O10</f>
        <v>-57506</v>
      </c>
      <c r="P7" s="10">
        <f>-94964-P10</f>
        <v>-89367</v>
      </c>
      <c r="S7" s="28">
        <f t="shared" ref="S7" si="9">O7-K7</f>
        <v>0</v>
      </c>
      <c r="T7" s="43">
        <f t="shared" ref="T7" si="10">P7-L7</f>
        <v>0</v>
      </c>
    </row>
    <row r="8" spans="2:20" ht="14.25" x14ac:dyDescent="0.2">
      <c r="B8" s="12" t="s">
        <v>71</v>
      </c>
      <c r="C8" s="13">
        <f t="shared" ref="C8" si="11">C11-C10</f>
        <v>13499</v>
      </c>
      <c r="D8" s="13">
        <f>D11-D10</f>
        <v>12790</v>
      </c>
      <c r="E8" s="14">
        <f t="shared" ref="E8:J8" si="12">E11-E10</f>
        <v>-4848</v>
      </c>
      <c r="F8" s="13">
        <f t="shared" si="12"/>
        <v>1019</v>
      </c>
      <c r="G8" s="14">
        <f t="shared" si="12"/>
        <v>1909</v>
      </c>
      <c r="H8" s="13">
        <f t="shared" si="12"/>
        <v>2210</v>
      </c>
      <c r="I8" s="14">
        <f t="shared" si="12"/>
        <v>-942</v>
      </c>
      <c r="J8" s="13">
        <f t="shared" si="12"/>
        <v>-998</v>
      </c>
      <c r="K8" s="20">
        <f t="shared" ref="K8:L8" si="13">SUM(K5:K7)</f>
        <v>9618</v>
      </c>
      <c r="L8" s="13">
        <f t="shared" si="13"/>
        <v>15021</v>
      </c>
      <c r="N8" s="12" t="s">
        <v>71</v>
      </c>
      <c r="O8" s="13">
        <f t="shared" ref="O8:P8" si="14">SUM(O5:O7)</f>
        <v>9618</v>
      </c>
      <c r="P8" s="13">
        <f t="shared" si="14"/>
        <v>15021</v>
      </c>
      <c r="S8" s="25">
        <f>O8-K8</f>
        <v>0</v>
      </c>
      <c r="T8" s="47">
        <f>P8-L8</f>
        <v>0</v>
      </c>
    </row>
    <row r="9" spans="2:20" x14ac:dyDescent="0.2">
      <c r="C9" s="8"/>
      <c r="D9" s="8"/>
      <c r="E9" s="9"/>
      <c r="F9" s="10"/>
      <c r="G9" s="9"/>
      <c r="H9" s="10"/>
      <c r="I9" s="9"/>
      <c r="J9" s="10"/>
      <c r="K9" s="19"/>
      <c r="L9" s="10"/>
      <c r="O9" s="10"/>
      <c r="P9" s="10"/>
      <c r="S9" s="28"/>
      <c r="T9" s="43"/>
    </row>
    <row r="10" spans="2:20" x14ac:dyDescent="0.2">
      <c r="B10" s="1" t="s">
        <v>3</v>
      </c>
      <c r="C10" s="8">
        <f>-4194-182</f>
        <v>-4376</v>
      </c>
      <c r="D10" s="8">
        <f>-4386-330</f>
        <v>-4716</v>
      </c>
      <c r="E10" s="9">
        <f>-200-5</f>
        <v>-205</v>
      </c>
      <c r="F10" s="10">
        <f>-401-9</f>
        <v>-410</v>
      </c>
      <c r="G10" s="9">
        <v>-555</v>
      </c>
      <c r="H10" s="10">
        <v>-536</v>
      </c>
      <c r="I10" s="9">
        <v>48</v>
      </c>
      <c r="J10" s="10">
        <v>65</v>
      </c>
      <c r="K10" s="19">
        <f t="shared" ref="K10:L10" si="15">SUM(C10,E10,G10,I10)</f>
        <v>-5088</v>
      </c>
      <c r="L10" s="10">
        <f t="shared" si="15"/>
        <v>-5597</v>
      </c>
      <c r="N10" s="1" t="s">
        <v>3</v>
      </c>
      <c r="O10" s="10">
        <f>-4901-187</f>
        <v>-5088</v>
      </c>
      <c r="P10" s="10">
        <f>-5258-339</f>
        <v>-5597</v>
      </c>
      <c r="S10" s="28">
        <f>O10-K10</f>
        <v>0</v>
      </c>
      <c r="T10" s="43">
        <f>P10-L10</f>
        <v>0</v>
      </c>
    </row>
    <row r="11" spans="2:20" ht="13.5" thickBot="1" x14ac:dyDescent="0.25">
      <c r="B11" s="15" t="s">
        <v>4</v>
      </c>
      <c r="C11" s="16">
        <f t="shared" ref="C11:H11" si="16">C31-SUM(C24:C30)</f>
        <v>9123</v>
      </c>
      <c r="D11" s="16">
        <f t="shared" si="16"/>
        <v>8074</v>
      </c>
      <c r="E11" s="17">
        <f t="shared" si="16"/>
        <v>-5053</v>
      </c>
      <c r="F11" s="16">
        <f t="shared" si="16"/>
        <v>609</v>
      </c>
      <c r="G11" s="17">
        <f t="shared" si="16"/>
        <v>1354</v>
      </c>
      <c r="H11" s="16">
        <f t="shared" si="16"/>
        <v>1674</v>
      </c>
      <c r="I11" s="17">
        <f>I31-SUM(I24:I30)</f>
        <v>-894</v>
      </c>
      <c r="J11" s="16">
        <f t="shared" ref="J11" si="17">J31-SUM(J24:J30)</f>
        <v>-933</v>
      </c>
      <c r="K11" s="21">
        <f t="shared" ref="K11:L11" si="18">SUM(K8,K10:K10)</f>
        <v>4530</v>
      </c>
      <c r="L11" s="16">
        <f t="shared" si="18"/>
        <v>9424</v>
      </c>
      <c r="N11" s="15" t="s">
        <v>4</v>
      </c>
      <c r="O11" s="16">
        <f>SUM(O8,O10:O10)</f>
        <v>4530</v>
      </c>
      <c r="P11" s="16">
        <f>SUM(P8,P10:P10)</f>
        <v>9424</v>
      </c>
      <c r="S11" s="29">
        <f>O11-K11</f>
        <v>0</v>
      </c>
      <c r="T11" s="46">
        <f>P11-L11</f>
        <v>0</v>
      </c>
    </row>
    <row r="12" spans="2:20" x14ac:dyDescent="0.2"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S12" s="40"/>
      <c r="T12" s="40"/>
    </row>
    <row r="13" spans="2:20" s="2" customFormat="1" x14ac:dyDescent="0.2">
      <c r="B13" s="38" t="s">
        <v>31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 t="s">
        <v>31</v>
      </c>
      <c r="O13" s="38"/>
      <c r="P13" s="38"/>
      <c r="Q13" s="1"/>
      <c r="R13" s="1"/>
      <c r="S13" s="41"/>
      <c r="T13" s="41"/>
    </row>
    <row r="14" spans="2:20" ht="12.95" customHeight="1" x14ac:dyDescent="0.2">
      <c r="B14" s="37" t="s">
        <v>70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 t="s">
        <v>61</v>
      </c>
      <c r="O14" s="37"/>
      <c r="P14" s="37"/>
      <c r="S14" s="40"/>
      <c r="T14" s="40"/>
    </row>
    <row r="15" spans="2:20" x14ac:dyDescent="0.2"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S15" s="40"/>
      <c r="T15" s="40"/>
    </row>
    <row r="16" spans="2:20" x14ac:dyDescent="0.2">
      <c r="B16" s="38" t="s">
        <v>25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8" t="s">
        <v>25</v>
      </c>
      <c r="O16" s="37"/>
      <c r="P16" s="37"/>
      <c r="S16" s="40"/>
      <c r="T16" s="40"/>
    </row>
    <row r="17" spans="2:20" ht="12.95" customHeight="1" x14ac:dyDescent="0.2">
      <c r="B17" s="37" t="s">
        <v>72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 t="s">
        <v>72</v>
      </c>
      <c r="O17" s="37"/>
      <c r="P17" s="37"/>
      <c r="S17" s="40"/>
      <c r="T17" s="40"/>
    </row>
    <row r="18" spans="2:20" ht="12.95" customHeight="1" x14ac:dyDescent="0.2"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S18" s="40"/>
      <c r="T18" s="40"/>
    </row>
    <row r="19" spans="2:20" x14ac:dyDescent="0.2"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S19" s="40"/>
      <c r="T19" s="40"/>
    </row>
    <row r="20" spans="2:20" x14ac:dyDescent="0.2"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S20" s="40"/>
      <c r="T20" s="40"/>
    </row>
    <row r="23" spans="2:20" hidden="1" outlineLevel="1" x14ac:dyDescent="0.2"/>
    <row r="24" spans="2:20" hidden="1" outlineLevel="1" x14ac:dyDescent="0.2">
      <c r="B24" s="1" t="s">
        <v>62</v>
      </c>
      <c r="C24" s="8">
        <v>0</v>
      </c>
      <c r="D24" s="8">
        <v>0</v>
      </c>
      <c r="E24" s="9">
        <v>0</v>
      </c>
      <c r="F24" s="10">
        <v>0</v>
      </c>
      <c r="G24" s="9">
        <v>0</v>
      </c>
      <c r="H24" s="10">
        <v>0</v>
      </c>
      <c r="I24" s="9">
        <v>150</v>
      </c>
      <c r="J24" s="10">
        <v>421</v>
      </c>
      <c r="K24" s="19">
        <f t="shared" ref="K24:K26" si="19">SUM(C24,E24,G24,I24)</f>
        <v>150</v>
      </c>
      <c r="L24" s="10">
        <f t="shared" ref="L24:L26" si="20">SUM(D24,F24,H24,J24)</f>
        <v>421</v>
      </c>
    </row>
    <row r="25" spans="2:20" hidden="1" outlineLevel="1" x14ac:dyDescent="0.2">
      <c r="B25" s="1" t="s">
        <v>63</v>
      </c>
      <c r="C25" s="8">
        <v>0</v>
      </c>
      <c r="D25" s="8">
        <v>0</v>
      </c>
      <c r="E25" s="9">
        <v>0</v>
      </c>
      <c r="F25" s="10">
        <v>447</v>
      </c>
      <c r="G25" s="9">
        <v>0</v>
      </c>
      <c r="H25" s="10">
        <v>0</v>
      </c>
      <c r="I25" s="9">
        <v>0</v>
      </c>
      <c r="J25" s="10">
        <v>0</v>
      </c>
      <c r="K25" s="19">
        <f t="shared" ref="K25" si="21">SUM(C25,E25,G25,I25)</f>
        <v>0</v>
      </c>
      <c r="L25" s="10">
        <f t="shared" ref="L25" si="22">SUM(D25,F25,H25,J25)</f>
        <v>447</v>
      </c>
    </row>
    <row r="26" spans="2:20" hidden="1" outlineLevel="1" x14ac:dyDescent="0.2">
      <c r="B26" s="1" t="s">
        <v>64</v>
      </c>
      <c r="C26" s="8">
        <v>0</v>
      </c>
      <c r="D26" s="8">
        <v>0</v>
      </c>
      <c r="E26" s="9">
        <v>0</v>
      </c>
      <c r="F26" s="10">
        <v>0</v>
      </c>
      <c r="G26" s="9">
        <v>0</v>
      </c>
      <c r="H26" s="10">
        <v>0</v>
      </c>
      <c r="I26" s="9">
        <v>5</v>
      </c>
      <c r="J26" s="10">
        <v>3</v>
      </c>
      <c r="K26" s="19">
        <f t="shared" si="19"/>
        <v>5</v>
      </c>
      <c r="L26" s="10">
        <f t="shared" si="20"/>
        <v>3</v>
      </c>
    </row>
    <row r="27" spans="2:20" hidden="1" outlineLevel="1" x14ac:dyDescent="0.2">
      <c r="B27" s="79" t="s">
        <v>56</v>
      </c>
      <c r="C27" s="80">
        <v>271</v>
      </c>
      <c r="D27" s="80">
        <v>402</v>
      </c>
      <c r="E27" s="81">
        <v>6</v>
      </c>
      <c r="F27" s="80">
        <v>63</v>
      </c>
      <c r="G27" s="81">
        <v>1</v>
      </c>
      <c r="H27" s="80">
        <v>1</v>
      </c>
      <c r="I27" s="81">
        <v>-269</v>
      </c>
      <c r="J27" s="80">
        <v>-398</v>
      </c>
      <c r="K27" s="82">
        <f t="shared" ref="K27:K30" si="23">SUM(C27,E27,G27,I27)</f>
        <v>9</v>
      </c>
      <c r="L27" s="80">
        <f t="shared" ref="L27:L30" si="24">SUM(D27,F27,H27,J27)</f>
        <v>68</v>
      </c>
    </row>
    <row r="28" spans="2:20" hidden="1" outlineLevel="1" x14ac:dyDescent="0.2">
      <c r="B28" s="1" t="s">
        <v>57</v>
      </c>
      <c r="C28" s="8">
        <v>-1950</v>
      </c>
      <c r="D28" s="8">
        <v>-2261</v>
      </c>
      <c r="E28" s="9">
        <v>-61</v>
      </c>
      <c r="F28" s="10">
        <v>-223</v>
      </c>
      <c r="G28" s="9">
        <v>-220</v>
      </c>
      <c r="H28" s="10">
        <v>-193</v>
      </c>
      <c r="I28" s="9">
        <v>269</v>
      </c>
      <c r="J28" s="10">
        <v>398</v>
      </c>
      <c r="K28" s="19">
        <f t="shared" ref="K28:K29" si="25">SUM(C28,E28,G28,I28)</f>
        <v>-1962</v>
      </c>
      <c r="L28" s="10">
        <f t="shared" ref="L28:L29" si="26">SUM(D28,F28,H28,J28)</f>
        <v>-2279</v>
      </c>
    </row>
    <row r="29" spans="2:20" hidden="1" outlineLevel="1" x14ac:dyDescent="0.2">
      <c r="B29" s="1" t="s">
        <v>58</v>
      </c>
      <c r="C29" s="8">
        <v>11</v>
      </c>
      <c r="D29" s="8">
        <v>1784</v>
      </c>
      <c r="E29" s="9">
        <v>0</v>
      </c>
      <c r="F29" s="10">
        <v>0</v>
      </c>
      <c r="G29" s="9">
        <v>0</v>
      </c>
      <c r="H29" s="10">
        <v>0</v>
      </c>
      <c r="I29" s="9">
        <f t="shared" ref="I29" si="27">-316*0</f>
        <v>0</v>
      </c>
      <c r="J29" s="10">
        <v>0</v>
      </c>
      <c r="K29" s="19">
        <f t="shared" si="25"/>
        <v>11</v>
      </c>
      <c r="L29" s="10">
        <f t="shared" si="26"/>
        <v>1784</v>
      </c>
    </row>
    <row r="30" spans="2:20" hidden="1" outlineLevel="1" x14ac:dyDescent="0.2">
      <c r="B30" s="1" t="s">
        <v>59</v>
      </c>
      <c r="C30" s="8">
        <v>-1978</v>
      </c>
      <c r="D30" s="8">
        <v>-2088</v>
      </c>
      <c r="E30" s="9">
        <v>1345</v>
      </c>
      <c r="F30" s="10">
        <v>-299</v>
      </c>
      <c r="G30" s="9">
        <v>-324</v>
      </c>
      <c r="H30" s="10">
        <v>-455</v>
      </c>
      <c r="I30" s="9">
        <v>156</v>
      </c>
      <c r="J30" s="10">
        <v>143</v>
      </c>
      <c r="K30" s="19">
        <f t="shared" si="23"/>
        <v>-801</v>
      </c>
      <c r="L30" s="10">
        <f t="shared" si="24"/>
        <v>-2699</v>
      </c>
    </row>
    <row r="31" spans="2:20" ht="13.5" hidden="1" outlineLevel="1" thickBot="1" x14ac:dyDescent="0.25">
      <c r="B31" s="15" t="s">
        <v>55</v>
      </c>
      <c r="C31" s="16">
        <v>5477</v>
      </c>
      <c r="D31" s="16">
        <v>5911</v>
      </c>
      <c r="E31" s="17">
        <v>-3763</v>
      </c>
      <c r="F31" s="16">
        <v>597</v>
      </c>
      <c r="G31" s="17">
        <v>811</v>
      </c>
      <c r="H31" s="16">
        <v>1027</v>
      </c>
      <c r="I31" s="17">
        <v>-583</v>
      </c>
      <c r="J31" s="16">
        <v>-366</v>
      </c>
      <c r="K31" s="21">
        <f t="shared" ref="K31" si="28">SUM(C31,E31,G31,I31)</f>
        <v>1942</v>
      </c>
      <c r="L31" s="16">
        <f t="shared" ref="L31" si="29">SUM(D31,F31,H31,J31)</f>
        <v>7169</v>
      </c>
      <c r="O31" s="21">
        <f>SUM(O11,O27:O30)</f>
        <v>4530</v>
      </c>
      <c r="P31" s="16">
        <f>SUM(P11,P27:P30)</f>
        <v>9424</v>
      </c>
    </row>
    <row r="32" spans="2:20" hidden="1" outlineLevel="2" x14ac:dyDescent="0.2"/>
    <row r="33" spans="2:20" hidden="1" outlineLevel="2" x14ac:dyDescent="0.2">
      <c r="B33" s="1" t="s">
        <v>41</v>
      </c>
      <c r="K33" s="19">
        <v>1942</v>
      </c>
      <c r="L33" s="10">
        <v>7169</v>
      </c>
      <c r="O33" s="19">
        <v>4530</v>
      </c>
      <c r="P33" s="10">
        <v>9424</v>
      </c>
    </row>
    <row r="34" spans="2:20" s="24" customFormat="1" hidden="1" outlineLevel="2" x14ac:dyDescent="0.2">
      <c r="B34" s="23" t="s">
        <v>24</v>
      </c>
      <c r="C34" s="23"/>
      <c r="D34" s="23"/>
      <c r="E34" s="23"/>
      <c r="F34" s="23"/>
      <c r="G34" s="23"/>
      <c r="H34" s="23"/>
      <c r="I34" s="23"/>
      <c r="J34" s="23"/>
      <c r="K34" s="25">
        <f>K31-K33</f>
        <v>0</v>
      </c>
      <c r="L34" s="26">
        <f>L31-L33</f>
        <v>0</v>
      </c>
      <c r="O34" s="25">
        <f>O31-O33</f>
        <v>0</v>
      </c>
      <c r="P34" s="26">
        <f>P31-P33</f>
        <v>0</v>
      </c>
      <c r="Q34" s="1"/>
      <c r="R34" s="1"/>
      <c r="S34" s="33"/>
      <c r="T34" s="33"/>
    </row>
    <row r="35" spans="2:20" hidden="1" outlineLevel="1" collapsed="1" x14ac:dyDescent="0.2"/>
    <row r="36" spans="2:20" collapsed="1" x14ac:dyDescent="0.2"/>
  </sheetData>
  <mergeCells count="7">
    <mergeCell ref="O3:P3"/>
    <mergeCell ref="S3:T3"/>
    <mergeCell ref="C3:D3"/>
    <mergeCell ref="E3:F3"/>
    <mergeCell ref="G3:H3"/>
    <mergeCell ref="I3:J3"/>
    <mergeCell ref="K3:L3"/>
  </mergeCells>
  <pageMargins left="0.59055118110236227" right="0.59055118110236227" top="0.59055118110236227" bottom="0.59055118110236227" header="0.31496062992125984" footer="0.31496062992125984"/>
  <pageSetup paperSize="9" scale="75" fitToWidth="0" fitToHeight="2" orientation="landscape" r:id="rId1"/>
  <colBreaks count="1" manualBreakCount="1">
    <brk id="13" min="1" max="20" man="1"/>
  </colBreaks>
  <ignoredErrors>
    <ignoredError sqref="C7:J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51"/>
  <sheetViews>
    <sheetView showGridLines="0" zoomScaleNormal="100" workbookViewId="0"/>
  </sheetViews>
  <sheetFormatPr defaultRowHeight="12.75" outlineLevelRow="1" outlineLevelCol="1" x14ac:dyDescent="0.2"/>
  <cols>
    <col min="1" max="1" width="2.7109375" style="1" customWidth="1"/>
    <col min="2" max="2" width="60.7109375" style="1" customWidth="1"/>
    <col min="3" max="4" width="10.7109375" style="1" customWidth="1"/>
    <col min="5" max="5" width="2.7109375" style="1" customWidth="1"/>
    <col min="6" max="6" width="20.7109375" style="1" customWidth="1"/>
    <col min="7" max="16" width="10.7109375" style="1" customWidth="1"/>
    <col min="17" max="17" width="2.7109375" style="1" customWidth="1"/>
    <col min="18" max="19" width="9.140625" style="33" hidden="1" customWidth="1" outlineLevel="1"/>
    <col min="20" max="20" width="9.140625" style="1" collapsed="1"/>
    <col min="21" max="16384" width="9.140625" style="1"/>
  </cols>
  <sheetData>
    <row r="2" spans="2:19" ht="20.100000000000001" customHeight="1" x14ac:dyDescent="0.2">
      <c r="F2" s="22" t="s">
        <v>86</v>
      </c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2:19" ht="20.100000000000001" customHeight="1" x14ac:dyDescent="0.2">
      <c r="B3" s="22" t="s">
        <v>40</v>
      </c>
      <c r="C3" s="22"/>
      <c r="D3" s="65"/>
      <c r="F3" s="74"/>
      <c r="G3" s="90" t="s">
        <v>48</v>
      </c>
      <c r="H3" s="90"/>
      <c r="I3" s="91" t="s">
        <v>49</v>
      </c>
      <c r="J3" s="92"/>
      <c r="K3" s="91" t="s">
        <v>50</v>
      </c>
      <c r="L3" s="92"/>
      <c r="M3" s="91" t="s">
        <v>73</v>
      </c>
      <c r="N3" s="92"/>
      <c r="O3" s="93" t="s">
        <v>34</v>
      </c>
      <c r="P3" s="92"/>
      <c r="R3" s="88" t="s">
        <v>5</v>
      </c>
      <c r="S3" s="89"/>
    </row>
    <row r="4" spans="2:19" x14ac:dyDescent="0.2">
      <c r="B4" s="3" t="s">
        <v>6</v>
      </c>
      <c r="C4" s="64">
        <v>41364</v>
      </c>
      <c r="D4" s="66">
        <v>41729</v>
      </c>
      <c r="F4" s="3" t="s">
        <v>6</v>
      </c>
      <c r="G4" s="4">
        <v>41364</v>
      </c>
      <c r="H4" s="4">
        <v>41729</v>
      </c>
      <c r="I4" s="5">
        <v>41364</v>
      </c>
      <c r="J4" s="4">
        <v>41729</v>
      </c>
      <c r="K4" s="5">
        <v>41364</v>
      </c>
      <c r="L4" s="4">
        <v>41729</v>
      </c>
      <c r="M4" s="5">
        <v>41364</v>
      </c>
      <c r="N4" s="4">
        <v>41729</v>
      </c>
      <c r="O4" s="18">
        <v>41364</v>
      </c>
      <c r="P4" s="4">
        <v>41729</v>
      </c>
      <c r="R4" s="27">
        <v>41364</v>
      </c>
      <c r="S4" s="42">
        <v>41729</v>
      </c>
    </row>
    <row r="5" spans="2:19" x14ac:dyDescent="0.2">
      <c r="B5" s="1" t="s">
        <v>7</v>
      </c>
      <c r="C5" s="10">
        <v>12546</v>
      </c>
      <c r="D5" s="67">
        <v>17589</v>
      </c>
      <c r="F5" s="76" t="s">
        <v>51</v>
      </c>
      <c r="G5" s="76">
        <v>128426</v>
      </c>
      <c r="H5" s="76">
        <v>130881</v>
      </c>
      <c r="I5" s="77">
        <v>13967</v>
      </c>
      <c r="J5" s="78">
        <v>17311</v>
      </c>
      <c r="K5" s="77">
        <v>8836</v>
      </c>
      <c r="L5" s="78">
        <v>9496</v>
      </c>
      <c r="M5" s="77">
        <v>-14810</v>
      </c>
      <c r="N5" s="78">
        <v>-9849</v>
      </c>
      <c r="O5" s="19">
        <f>SUM(G5,I5,K5,M5)</f>
        <v>136419</v>
      </c>
      <c r="P5" s="8">
        <f t="shared" ref="P5:P6" si="0">SUM(H5,J5,L5,N5)</f>
        <v>147839</v>
      </c>
      <c r="R5" s="28">
        <f>SUM(C9,C17:C18,C25,C28,C29,C32:C33)-O5</f>
        <v>0</v>
      </c>
      <c r="S5" s="43">
        <f>SUM(D9,D17:D18,D25,D28,D29,D32:D33)-P5</f>
        <v>0</v>
      </c>
    </row>
    <row r="6" spans="2:19" x14ac:dyDescent="0.2">
      <c r="B6" s="1" t="s">
        <v>8</v>
      </c>
      <c r="C6" s="10">
        <v>1473</v>
      </c>
      <c r="D6" s="67">
        <v>2614</v>
      </c>
      <c r="F6" s="76" t="s">
        <v>52</v>
      </c>
      <c r="G6" s="76">
        <v>-64552</v>
      </c>
      <c r="H6" s="76">
        <v>-63596</v>
      </c>
      <c r="I6" s="77">
        <v>-12729</v>
      </c>
      <c r="J6" s="78">
        <v>-15476</v>
      </c>
      <c r="K6" s="77">
        <v>-6663</v>
      </c>
      <c r="L6" s="78">
        <v>-6295</v>
      </c>
      <c r="M6" s="77">
        <v>9817</v>
      </c>
      <c r="N6" s="78">
        <v>4489</v>
      </c>
      <c r="O6" s="19">
        <f t="shared" ref="O6" si="1">SUM(G6,I6,K6,M6)</f>
        <v>-74127</v>
      </c>
      <c r="P6" s="8">
        <f t="shared" si="0"/>
        <v>-80878</v>
      </c>
      <c r="R6" s="28">
        <f>SUM(C15,C19:C23,C30:C31,C34:C35)-O6</f>
        <v>0</v>
      </c>
      <c r="S6" s="43">
        <f>SUM(D15,D19:D23,D30:D31,D34:D35)-P6</f>
        <v>0</v>
      </c>
    </row>
    <row r="7" spans="2:19" x14ac:dyDescent="0.2">
      <c r="B7" s="1" t="s">
        <v>9</v>
      </c>
      <c r="C7" s="10">
        <v>1825</v>
      </c>
      <c r="D7" s="67">
        <v>2103</v>
      </c>
      <c r="F7" s="31" t="s">
        <v>86</v>
      </c>
      <c r="G7" s="31">
        <f>SUM(G5:G6)</f>
        <v>63874</v>
      </c>
      <c r="H7" s="31">
        <f t="shared" ref="H7:P7" si="2">SUM(H5:H6)</f>
        <v>67285</v>
      </c>
      <c r="I7" s="36">
        <f t="shared" si="2"/>
        <v>1238</v>
      </c>
      <c r="J7" s="31">
        <f t="shared" si="2"/>
        <v>1835</v>
      </c>
      <c r="K7" s="36">
        <f t="shared" si="2"/>
        <v>2173</v>
      </c>
      <c r="L7" s="31">
        <f t="shared" si="2"/>
        <v>3201</v>
      </c>
      <c r="M7" s="36">
        <f t="shared" si="2"/>
        <v>-4993</v>
      </c>
      <c r="N7" s="31">
        <f t="shared" si="2"/>
        <v>-5360</v>
      </c>
      <c r="O7" s="35">
        <f t="shared" si="2"/>
        <v>62292</v>
      </c>
      <c r="P7" s="31">
        <f t="shared" si="2"/>
        <v>66961</v>
      </c>
      <c r="R7" s="44">
        <f>SUM(R5:R6)</f>
        <v>0</v>
      </c>
      <c r="S7" s="45">
        <f>SUM(S5:S6)</f>
        <v>0</v>
      </c>
    </row>
    <row r="8" spans="2:19" x14ac:dyDescent="0.2">
      <c r="B8" s="1" t="s">
        <v>42</v>
      </c>
      <c r="C8" s="10">
        <v>0</v>
      </c>
      <c r="D8" s="67">
        <v>195</v>
      </c>
      <c r="R8" s="1"/>
      <c r="S8" s="1"/>
    </row>
    <row r="9" spans="2:19" x14ac:dyDescent="0.2">
      <c r="B9" s="7" t="s">
        <v>10</v>
      </c>
      <c r="C9" s="11">
        <f>SUM(C5:C8)</f>
        <v>15844</v>
      </c>
      <c r="D9" s="68">
        <f>SUM(D5:D8)</f>
        <v>22501</v>
      </c>
      <c r="F9" s="38" t="s">
        <v>31</v>
      </c>
      <c r="R9" s="1"/>
      <c r="S9" s="1"/>
    </row>
    <row r="10" spans="2:19" x14ac:dyDescent="0.2">
      <c r="B10" s="1" t="s">
        <v>12</v>
      </c>
      <c r="C10" s="10">
        <v>-10643</v>
      </c>
      <c r="D10" s="67">
        <v>-14132</v>
      </c>
      <c r="F10" s="37" t="s">
        <v>60</v>
      </c>
      <c r="R10" s="1"/>
      <c r="S10" s="1"/>
    </row>
    <row r="11" spans="2:19" x14ac:dyDescent="0.2">
      <c r="B11" s="1" t="s">
        <v>13</v>
      </c>
      <c r="C11" s="10">
        <v>-149</v>
      </c>
      <c r="D11" s="67">
        <v>0</v>
      </c>
      <c r="R11" s="1"/>
      <c r="S11" s="1"/>
    </row>
    <row r="12" spans="2:19" x14ac:dyDescent="0.2">
      <c r="B12" s="1" t="s">
        <v>44</v>
      </c>
      <c r="C12" s="10">
        <v>-1681</v>
      </c>
      <c r="D12" s="67">
        <v>-2049</v>
      </c>
      <c r="R12" s="1"/>
      <c r="S12" s="1"/>
    </row>
    <row r="13" spans="2:19" x14ac:dyDescent="0.2">
      <c r="B13" s="1" t="s">
        <v>45</v>
      </c>
      <c r="C13" s="10">
        <v>-397</v>
      </c>
      <c r="D13" s="67">
        <v>-657</v>
      </c>
      <c r="R13" s="1"/>
      <c r="S13" s="1"/>
    </row>
    <row r="14" spans="2:19" x14ac:dyDescent="0.2">
      <c r="B14" s="1" t="s">
        <v>46</v>
      </c>
      <c r="C14" s="10">
        <v>-2507</v>
      </c>
      <c r="D14" s="67">
        <v>-4641</v>
      </c>
      <c r="R14" s="1"/>
      <c r="S14" s="1"/>
    </row>
    <row r="15" spans="2:19" x14ac:dyDescent="0.2">
      <c r="B15" s="7" t="s">
        <v>11</v>
      </c>
      <c r="C15" s="11">
        <f>SUM(C10:C14)</f>
        <v>-15377</v>
      </c>
      <c r="D15" s="11">
        <f>SUM(D10:D14)</f>
        <v>-21479</v>
      </c>
      <c r="R15" s="1"/>
      <c r="S15" s="1"/>
    </row>
    <row r="16" spans="2:19" x14ac:dyDescent="0.2">
      <c r="B16" s="30" t="s">
        <v>14</v>
      </c>
      <c r="C16" s="31">
        <f>SUM(C9,C15)</f>
        <v>467</v>
      </c>
      <c r="D16" s="69">
        <f>SUM(D9,D15)</f>
        <v>1022</v>
      </c>
      <c r="R16" s="1"/>
      <c r="S16" s="1"/>
    </row>
    <row r="17" spans="2:20" x14ac:dyDescent="0.2">
      <c r="B17" s="1" t="s">
        <v>15</v>
      </c>
      <c r="C17" s="10">
        <v>114672</v>
      </c>
      <c r="D17" s="67">
        <v>118997</v>
      </c>
      <c r="R17" s="1"/>
      <c r="S17" s="1"/>
    </row>
    <row r="18" spans="2:20" x14ac:dyDescent="0.2">
      <c r="B18" s="1" t="s">
        <v>43</v>
      </c>
      <c r="C18" s="10">
        <v>88</v>
      </c>
      <c r="D18" s="67">
        <v>83</v>
      </c>
      <c r="R18" s="1"/>
      <c r="S18" s="1"/>
    </row>
    <row r="19" spans="2:20" x14ac:dyDescent="0.2">
      <c r="B19" s="1" t="s">
        <v>47</v>
      </c>
      <c r="C19" s="10">
        <v>-21120</v>
      </c>
      <c r="D19" s="67">
        <v>-22315</v>
      </c>
      <c r="R19" s="1"/>
      <c r="S19" s="1"/>
    </row>
    <row r="20" spans="2:20" ht="14.25" x14ac:dyDescent="0.2">
      <c r="B20" s="1" t="s">
        <v>66</v>
      </c>
      <c r="C20" s="10">
        <v>-18</v>
      </c>
      <c r="D20" s="67">
        <v>-18</v>
      </c>
      <c r="R20" s="1"/>
      <c r="S20" s="1"/>
    </row>
    <row r="21" spans="2:20" ht="14.25" x14ac:dyDescent="0.2">
      <c r="B21" s="1" t="s">
        <v>66</v>
      </c>
      <c r="C21" s="10">
        <v>-593</v>
      </c>
      <c r="D21" s="67">
        <v>-576</v>
      </c>
      <c r="R21" s="1"/>
      <c r="S21" s="1"/>
    </row>
    <row r="22" spans="2:20" x14ac:dyDescent="0.2">
      <c r="B22" s="1" t="s">
        <v>45</v>
      </c>
      <c r="C22" s="10">
        <v>0</v>
      </c>
      <c r="D22" s="67">
        <v>-380</v>
      </c>
      <c r="R22" s="1"/>
      <c r="S22" s="1"/>
    </row>
    <row r="23" spans="2:20" x14ac:dyDescent="0.2">
      <c r="B23" s="1" t="s">
        <v>44</v>
      </c>
      <c r="C23" s="10">
        <v>-144</v>
      </c>
      <c r="D23" s="67">
        <v>-124</v>
      </c>
      <c r="R23" s="1"/>
      <c r="S23" s="1"/>
    </row>
    <row r="24" spans="2:20" x14ac:dyDescent="0.2">
      <c r="B24" s="30" t="s">
        <v>16</v>
      </c>
      <c r="C24" s="31">
        <f>SUM(C16:C23)</f>
        <v>93352</v>
      </c>
      <c r="D24" s="69">
        <f>SUM(D16:D23)</f>
        <v>96689</v>
      </c>
      <c r="R24" s="1"/>
      <c r="S24" s="1"/>
    </row>
    <row r="25" spans="2:20" x14ac:dyDescent="0.2">
      <c r="B25" s="1" t="s">
        <v>17</v>
      </c>
      <c r="C25" s="10">
        <v>4011</v>
      </c>
      <c r="D25" s="67">
        <v>4869</v>
      </c>
      <c r="R25" s="1"/>
      <c r="S25" s="1"/>
    </row>
    <row r="26" spans="2:20" ht="13.5" thickBot="1" x14ac:dyDescent="0.25">
      <c r="B26" s="15" t="s">
        <v>18</v>
      </c>
      <c r="C26" s="16">
        <f>SUM(C24:C25)</f>
        <v>97363</v>
      </c>
      <c r="D26" s="70">
        <f>SUM(D24:D25)</f>
        <v>101558</v>
      </c>
      <c r="R26" s="1"/>
      <c r="S26" s="1"/>
    </row>
    <row r="27" spans="2:20" x14ac:dyDescent="0.2">
      <c r="C27" s="6"/>
      <c r="D27" s="71"/>
      <c r="R27" s="1"/>
      <c r="S27" s="1"/>
    </row>
    <row r="28" spans="2:20" x14ac:dyDescent="0.2">
      <c r="B28" s="1" t="s">
        <v>19</v>
      </c>
      <c r="C28" s="10">
        <v>707</v>
      </c>
      <c r="D28" s="67">
        <v>712</v>
      </c>
      <c r="R28" s="1"/>
      <c r="S28" s="1"/>
    </row>
    <row r="29" spans="2:20" ht="14.25" x14ac:dyDescent="0.2">
      <c r="B29" s="1" t="s">
        <v>65</v>
      </c>
      <c r="C29" s="10">
        <v>1050</v>
      </c>
      <c r="D29" s="67">
        <v>0</v>
      </c>
    </row>
    <row r="30" spans="2:20" x14ac:dyDescent="0.2">
      <c r="B30" s="1" t="s">
        <v>21</v>
      </c>
      <c r="C30" s="10">
        <v>-3850</v>
      </c>
      <c r="D30" s="67">
        <v>0</v>
      </c>
      <c r="Q30" s="2"/>
      <c r="R30" s="41"/>
      <c r="S30" s="41"/>
      <c r="T30" s="2"/>
    </row>
    <row r="31" spans="2:20" x14ac:dyDescent="0.2">
      <c r="B31" s="1" t="s">
        <v>20</v>
      </c>
      <c r="C31" s="10">
        <v>-31000</v>
      </c>
      <c r="D31" s="67">
        <v>-35115</v>
      </c>
      <c r="R31" s="40"/>
      <c r="S31" s="40"/>
    </row>
    <row r="32" spans="2:20" ht="14.25" x14ac:dyDescent="0.2">
      <c r="B32" s="1" t="s">
        <v>68</v>
      </c>
      <c r="C32" s="10">
        <v>0</v>
      </c>
      <c r="D32" s="67">
        <v>1</v>
      </c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40"/>
      <c r="S32" s="40"/>
      <c r="T32" s="37"/>
    </row>
    <row r="33" spans="2:20" ht="14.25" x14ac:dyDescent="0.2">
      <c r="B33" s="1" t="s">
        <v>68</v>
      </c>
      <c r="C33" s="10">
        <v>47</v>
      </c>
      <c r="D33" s="67">
        <v>676</v>
      </c>
    </row>
    <row r="34" spans="2:20" ht="14.25" x14ac:dyDescent="0.2">
      <c r="B34" s="1" t="s">
        <v>68</v>
      </c>
      <c r="C34" s="10">
        <v>0</v>
      </c>
      <c r="D34" s="67">
        <v>-62</v>
      </c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40"/>
      <c r="S34" s="40"/>
      <c r="T34" s="37"/>
    </row>
    <row r="35" spans="2:20" ht="14.25" x14ac:dyDescent="0.2">
      <c r="B35" s="1" t="s">
        <v>68</v>
      </c>
      <c r="C35" s="10">
        <v>-2025</v>
      </c>
      <c r="D35" s="67">
        <v>-809</v>
      </c>
    </row>
    <row r="36" spans="2:20" ht="13.5" thickBot="1" x14ac:dyDescent="0.25">
      <c r="B36" s="15" t="s">
        <v>22</v>
      </c>
      <c r="C36" s="16">
        <f>SUM(C28:C35)</f>
        <v>-35071</v>
      </c>
      <c r="D36" s="70">
        <f>SUM(D28:D35)</f>
        <v>-34597</v>
      </c>
    </row>
    <row r="37" spans="2:20" x14ac:dyDescent="0.2">
      <c r="C37" s="10"/>
      <c r="D37" s="67"/>
    </row>
    <row r="38" spans="2:20" ht="13.5" thickBot="1" x14ac:dyDescent="0.25">
      <c r="B38" s="15" t="s">
        <v>23</v>
      </c>
      <c r="C38" s="16">
        <f>SUM(C26,C36)</f>
        <v>62292</v>
      </c>
      <c r="D38" s="70">
        <f>SUM(D26,D36)</f>
        <v>66961</v>
      </c>
    </row>
    <row r="39" spans="2:20" x14ac:dyDescent="0.2">
      <c r="C39" s="10"/>
      <c r="D39" s="67"/>
    </row>
    <row r="40" spans="2:20" ht="15" thickBot="1" x14ac:dyDescent="0.25">
      <c r="B40" s="15" t="s">
        <v>74</v>
      </c>
      <c r="C40" s="16">
        <v>62292</v>
      </c>
      <c r="D40" s="70">
        <v>66961</v>
      </c>
    </row>
    <row r="41" spans="2:20" hidden="1" outlineLevel="1" x14ac:dyDescent="0.2"/>
    <row r="42" spans="2:20" hidden="1" outlineLevel="1" x14ac:dyDescent="0.2">
      <c r="B42" s="33" t="s">
        <v>24</v>
      </c>
      <c r="C42" s="34">
        <f>C38-C40</f>
        <v>0</v>
      </c>
      <c r="D42" s="34">
        <f>D38-D40</f>
        <v>0</v>
      </c>
    </row>
    <row r="43" spans="2:20" collapsed="1" x14ac:dyDescent="0.2"/>
    <row r="44" spans="2:20" s="2" customFormat="1" x14ac:dyDescent="0.2">
      <c r="B44" s="38" t="s">
        <v>31</v>
      </c>
      <c r="C44" s="38"/>
      <c r="D44" s="3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3"/>
      <c r="S44" s="33"/>
      <c r="T44" s="1"/>
    </row>
    <row r="45" spans="2:20" x14ac:dyDescent="0.2">
      <c r="B45" s="37" t="s">
        <v>75</v>
      </c>
      <c r="C45" s="37"/>
      <c r="D45" s="37"/>
    </row>
    <row r="46" spans="2:20" s="37" customFormat="1" x14ac:dyDescent="0.2"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3"/>
      <c r="S46" s="33"/>
      <c r="T46" s="1"/>
    </row>
    <row r="47" spans="2:20" s="37" customFormat="1" x14ac:dyDescent="0.2">
      <c r="B47" s="38" t="s">
        <v>25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3"/>
      <c r="S47" s="33"/>
      <c r="T47" s="1"/>
    </row>
    <row r="48" spans="2:20" s="37" customFormat="1" ht="26.1" customHeight="1" x14ac:dyDescent="0.2">
      <c r="B48" s="94" t="s">
        <v>67</v>
      </c>
      <c r="C48" s="94"/>
      <c r="D48" s="94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33"/>
      <c r="S48" s="33"/>
      <c r="T48" s="1"/>
    </row>
    <row r="49" spans="2:20" s="37" customFormat="1" ht="12.95" customHeight="1" x14ac:dyDescent="0.2">
      <c r="B49" s="83" t="s">
        <v>85</v>
      </c>
      <c r="C49" s="62"/>
      <c r="D49" s="6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33"/>
      <c r="S49" s="33"/>
      <c r="T49" s="1"/>
    </row>
    <row r="50" spans="2:20" ht="12.95" customHeight="1" x14ac:dyDescent="0.2">
      <c r="B50" s="83" t="s">
        <v>69</v>
      </c>
      <c r="C50" s="63"/>
      <c r="D50" s="63"/>
    </row>
    <row r="51" spans="2:20" s="37" customFormat="1" ht="12.95" customHeight="1" x14ac:dyDescent="0.2">
      <c r="B51" s="83" t="s">
        <v>76</v>
      </c>
      <c r="C51" s="62"/>
      <c r="D51" s="6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33"/>
      <c r="S51" s="33"/>
      <c r="T51" s="1"/>
    </row>
  </sheetData>
  <mergeCells count="7">
    <mergeCell ref="G3:H3"/>
    <mergeCell ref="B48:D48"/>
    <mergeCell ref="R3:S3"/>
    <mergeCell ref="I3:J3"/>
    <mergeCell ref="K3:L3"/>
    <mergeCell ref="M3:N3"/>
    <mergeCell ref="O3:P3"/>
  </mergeCells>
  <pageMargins left="0.59055118110236227" right="0.59055118110236227" top="0.59055118110236227" bottom="0.59055118110236227" header="0.31496062992125984" footer="0.31496062992125984"/>
  <pageSetup paperSize="9" fitToWidth="0" fitToHeight="2" orientation="portrait" r:id="rId1"/>
  <ignoredErrors>
    <ignoredError sqref="C9:D9 G7:R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Analysis</vt:lpstr>
      <vt:lpstr>IS</vt:lpstr>
      <vt:lpstr>BS</vt:lpstr>
      <vt:lpstr>Analysis!Print_Area</vt:lpstr>
      <vt:lpstr>BS!Print_Area</vt:lpstr>
      <vt:lpstr>IS!Print_Area</vt:lpstr>
    </vt:vector>
  </TitlesOfParts>
  <Company>Vector Limited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Wallace</dc:creator>
  <cp:lastModifiedBy>James Wallace</cp:lastModifiedBy>
  <cp:lastPrinted>2014-08-28T08:01:56Z</cp:lastPrinted>
  <dcterms:created xsi:type="dcterms:W3CDTF">2014-08-28T02:52:42Z</dcterms:created>
  <dcterms:modified xsi:type="dcterms:W3CDTF">2014-08-28T08:06:34Z</dcterms:modified>
</cp:coreProperties>
</file>