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allaceja\Downloads\EV to RAB multiples\TLC\"/>
    </mc:Choice>
  </mc:AlternateContent>
  <bookViews>
    <workbookView xWindow="0" yWindow="0" windowWidth="28800" windowHeight="13020"/>
  </bookViews>
  <sheets>
    <sheet name="Analysis" sheetId="1" r:id="rId1"/>
    <sheet name="IS" sheetId="2" r:id="rId2"/>
    <sheet name="BS" sheetId="3" r:id="rId3"/>
  </sheets>
  <definedNames>
    <definedName name="_xlnm.Print_Area" localSheetId="0">Analysis!$B$2:$C$44</definedName>
    <definedName name="_xlnm.Print_Area" localSheetId="2">BS!$B$3:$D$51</definedName>
    <definedName name="_xlnm.Print_Area" localSheetId="1">IS!$B$2:$N$22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3" l="1"/>
  <c r="Q17" i="3"/>
  <c r="R16" i="3"/>
  <c r="Q16" i="3"/>
  <c r="R15" i="3"/>
  <c r="Q15" i="3"/>
  <c r="C24" i="1"/>
  <c r="C22" i="1"/>
  <c r="R35" i="2"/>
  <c r="Q36" i="2"/>
  <c r="Q35" i="2"/>
  <c r="C17" i="1" l="1"/>
  <c r="C16" i="1"/>
  <c r="C13" i="1"/>
  <c r="D37" i="3" l="1"/>
  <c r="C37" i="3"/>
  <c r="D29" i="3"/>
  <c r="C29" i="3"/>
  <c r="P14" i="3"/>
  <c r="O14" i="3"/>
  <c r="N14" i="3"/>
  <c r="M14" i="3"/>
  <c r="J14" i="3"/>
  <c r="I14" i="3"/>
  <c r="H14" i="3"/>
  <c r="G14" i="3"/>
  <c r="D12" i="3"/>
  <c r="C12" i="3"/>
  <c r="P12" i="3"/>
  <c r="O12" i="3"/>
  <c r="N12" i="3"/>
  <c r="M12" i="3"/>
  <c r="L12" i="3"/>
  <c r="K12" i="3"/>
  <c r="J12" i="3"/>
  <c r="I12" i="3"/>
  <c r="H12" i="3"/>
  <c r="G12" i="3"/>
  <c r="R11" i="3"/>
  <c r="Q11" i="3"/>
  <c r="R10" i="3"/>
  <c r="Q10" i="3"/>
  <c r="R9" i="3"/>
  <c r="Q9" i="3"/>
  <c r="D8" i="3"/>
  <c r="C8" i="3"/>
  <c r="P8" i="3"/>
  <c r="O8" i="3"/>
  <c r="N8" i="3"/>
  <c r="M8" i="3"/>
  <c r="L8" i="3"/>
  <c r="K8" i="3"/>
  <c r="J8" i="3"/>
  <c r="I8" i="3"/>
  <c r="H7" i="3"/>
  <c r="H8" i="3" s="1"/>
  <c r="G7" i="3"/>
  <c r="Q7" i="3" s="1"/>
  <c r="T7" i="3" s="1"/>
  <c r="R6" i="3"/>
  <c r="Q6" i="3"/>
  <c r="R5" i="3"/>
  <c r="Q5" i="3"/>
  <c r="C15" i="1"/>
  <c r="C8" i="1"/>
  <c r="C10" i="1" s="1"/>
  <c r="L28" i="2"/>
  <c r="L9" i="2" s="1"/>
  <c r="K27" i="2"/>
  <c r="M27" i="2" s="1"/>
  <c r="U27" i="2" s="1"/>
  <c r="N10" i="2"/>
  <c r="V10" i="2" s="1"/>
  <c r="M10" i="2"/>
  <c r="U10" i="2" s="1"/>
  <c r="R31" i="2"/>
  <c r="Q31" i="2"/>
  <c r="R9" i="2"/>
  <c r="Q9" i="2"/>
  <c r="N6" i="2"/>
  <c r="V6" i="2" s="1"/>
  <c r="M6" i="2"/>
  <c r="U6" i="2" s="1"/>
  <c r="M28" i="2"/>
  <c r="U28" i="2" s="1"/>
  <c r="N27" i="2"/>
  <c r="V27" i="2" s="1"/>
  <c r="N13" i="2"/>
  <c r="V13" i="2" s="1"/>
  <c r="M13" i="2"/>
  <c r="U13" i="2" s="1"/>
  <c r="R7" i="2"/>
  <c r="Q7" i="2"/>
  <c r="L7" i="2"/>
  <c r="L11" i="2" s="1"/>
  <c r="K7" i="2"/>
  <c r="J9" i="2"/>
  <c r="I9" i="2"/>
  <c r="H5" i="2"/>
  <c r="H7" i="2" s="1"/>
  <c r="G5" i="2"/>
  <c r="G7" i="2" s="1"/>
  <c r="H9" i="2"/>
  <c r="G9" i="2"/>
  <c r="J7" i="2"/>
  <c r="I7" i="2"/>
  <c r="F7" i="2"/>
  <c r="E7" i="2"/>
  <c r="D9" i="2"/>
  <c r="C9" i="2"/>
  <c r="D7" i="2"/>
  <c r="C7" i="2"/>
  <c r="G11" i="2" l="1"/>
  <c r="G14" i="2" s="1"/>
  <c r="G29" i="2" s="1"/>
  <c r="I11" i="2"/>
  <c r="I14" i="2" s="1"/>
  <c r="I29" i="2" s="1"/>
  <c r="R11" i="2"/>
  <c r="R14" i="2" s="1"/>
  <c r="J11" i="2"/>
  <c r="H11" i="2"/>
  <c r="Q11" i="2"/>
  <c r="C11" i="2"/>
  <c r="C14" i="2" s="1"/>
  <c r="C29" i="2" s="1"/>
  <c r="E11" i="2"/>
  <c r="E14" i="2" s="1"/>
  <c r="E29" i="2" s="1"/>
  <c r="D11" i="2"/>
  <c r="F11" i="2"/>
  <c r="F14" i="2" s="1"/>
  <c r="F29" i="2" s="1"/>
  <c r="I13" i="3"/>
  <c r="I18" i="3" s="1"/>
  <c r="H13" i="3"/>
  <c r="H18" i="3" s="1"/>
  <c r="G8" i="3"/>
  <c r="G13" i="3" s="1"/>
  <c r="G18" i="3" s="1"/>
  <c r="L13" i="3"/>
  <c r="L18" i="3" s="1"/>
  <c r="P13" i="3"/>
  <c r="P18" i="3" s="1"/>
  <c r="R12" i="3"/>
  <c r="D13" i="3"/>
  <c r="D18" i="3" s="1"/>
  <c r="D21" i="3" s="1"/>
  <c r="D35" i="3" s="1"/>
  <c r="D39" i="3" s="1"/>
  <c r="R14" i="3"/>
  <c r="U14" i="3" s="1"/>
  <c r="K13" i="3"/>
  <c r="K18" i="3" s="1"/>
  <c r="O13" i="3"/>
  <c r="O18" i="3" s="1"/>
  <c r="Q12" i="3"/>
  <c r="M13" i="3"/>
  <c r="M18" i="3" s="1"/>
  <c r="C13" i="3"/>
  <c r="C18" i="3" s="1"/>
  <c r="C21" i="3" s="1"/>
  <c r="C35" i="3" s="1"/>
  <c r="C39" i="3" s="1"/>
  <c r="J13" i="3"/>
  <c r="J18" i="3" s="1"/>
  <c r="N13" i="3"/>
  <c r="N18" i="3" s="1"/>
  <c r="Q14" i="3"/>
  <c r="T14" i="3" s="1"/>
  <c r="Q8" i="3"/>
  <c r="R7" i="3"/>
  <c r="U7" i="3" s="1"/>
  <c r="C18" i="1"/>
  <c r="N28" i="2"/>
  <c r="V28" i="2" s="1"/>
  <c r="K9" i="2"/>
  <c r="M9" i="2" s="1"/>
  <c r="U9" i="2" s="1"/>
  <c r="N9" i="2"/>
  <c r="V9" i="2" s="1"/>
  <c r="N5" i="2"/>
  <c r="M5" i="2"/>
  <c r="U5" i="2" s="1"/>
  <c r="L14" i="2"/>
  <c r="L29" i="2" s="1"/>
  <c r="E22" i="1" l="1"/>
  <c r="F22" i="1" s="1"/>
  <c r="N7" i="2"/>
  <c r="V7" i="2" s="1"/>
  <c r="V5" i="2"/>
  <c r="K11" i="2"/>
  <c r="K14" i="2" s="1"/>
  <c r="K29" i="2" s="1"/>
  <c r="D14" i="2"/>
  <c r="D29" i="2" s="1"/>
  <c r="E26" i="1"/>
  <c r="J14" i="2"/>
  <c r="J29" i="2" s="1"/>
  <c r="E24" i="1"/>
  <c r="F24" i="1" s="1"/>
  <c r="H14" i="2"/>
  <c r="H29" i="2" s="1"/>
  <c r="E23" i="1"/>
  <c r="C23" i="1" s="1"/>
  <c r="Q13" i="3"/>
  <c r="Q18" i="3" s="1"/>
  <c r="R8" i="3"/>
  <c r="R13" i="3" s="1"/>
  <c r="R18" i="3" s="1"/>
  <c r="R29" i="2"/>
  <c r="R32" i="2" s="1"/>
  <c r="Q14" i="2"/>
  <c r="Q29" i="2" s="1"/>
  <c r="Q32" i="2" s="1"/>
  <c r="M7" i="2"/>
  <c r="N11" i="2" l="1"/>
  <c r="M11" i="2"/>
  <c r="U11" i="2" s="1"/>
  <c r="U7" i="2"/>
  <c r="F23" i="1"/>
  <c r="C25" i="1"/>
  <c r="C26" i="1" s="1"/>
  <c r="C30" i="1" s="1"/>
  <c r="R38" i="2"/>
  <c r="R41" i="2" s="1"/>
  <c r="Q38" i="2"/>
  <c r="V11" i="2" l="1"/>
  <c r="N14" i="2"/>
  <c r="C31" i="1"/>
  <c r="F26" i="1"/>
  <c r="Q41" i="2"/>
  <c r="M14" i="2"/>
  <c r="M29" i="2" s="1"/>
  <c r="M32" i="2" s="1"/>
  <c r="N29" i="2" l="1"/>
  <c r="N32" i="2" s="1"/>
  <c r="V14" i="2"/>
  <c r="V29" i="2" s="1"/>
  <c r="U14" i="2"/>
  <c r="U29" i="2" s="1"/>
</calcChain>
</file>

<file path=xl/comments1.xml><?xml version="1.0" encoding="utf-8"?>
<comments xmlns="http://schemas.openxmlformats.org/spreadsheetml/2006/main">
  <authors>
    <author>James Wallace</author>
  </authors>
  <commentList>
    <comment ref="G7" authorId="0" shapeId="0">
      <text>
        <r>
          <rPr>
            <sz val="9"/>
            <color indexed="81"/>
            <rFont val="Tahoma"/>
            <family val="2"/>
          </rPr>
          <t>Assumed to include Transformers in addition to Network stores</t>
        </r>
      </text>
    </comment>
    <comment ref="Q14" authorId="0" shapeId="0">
      <text>
        <r>
          <rPr>
            <sz val="9"/>
            <color indexed="81"/>
            <rFont val="Tahoma"/>
            <family val="2"/>
          </rPr>
          <t>Land, Buildings, Plant &amp; Vehicles</t>
        </r>
      </text>
    </comment>
  </commentList>
</comments>
</file>

<file path=xl/sharedStrings.xml><?xml version="1.0" encoding="utf-8"?>
<sst xmlns="http://schemas.openxmlformats.org/spreadsheetml/2006/main" count="132" uniqueCount="107">
  <si>
    <t>Network</t>
  </si>
  <si>
    <t>Revenue</t>
  </si>
  <si>
    <t>Transmission charges</t>
  </si>
  <si>
    <t>Gross Profit</t>
  </si>
  <si>
    <t>Operating expenses</t>
  </si>
  <si>
    <t>EBITDA</t>
  </si>
  <si>
    <t>Depreciation and amortisation</t>
  </si>
  <si>
    <t>EBIT</t>
  </si>
  <si>
    <t>Meters</t>
  </si>
  <si>
    <t>Contracting</t>
  </si>
  <si>
    <t>Generation</t>
  </si>
  <si>
    <t>Reported EBIT</t>
  </si>
  <si>
    <t>Corporate</t>
  </si>
  <si>
    <t>Write downs</t>
  </si>
  <si>
    <t>Restructuring</t>
  </si>
  <si>
    <t>Underlying EBIT</t>
  </si>
  <si>
    <t>Underlying EBITDA</t>
  </si>
  <si>
    <t>Total</t>
  </si>
  <si>
    <t>Investment income</t>
  </si>
  <si>
    <t>Variance</t>
  </si>
  <si>
    <t>Finance costs</t>
  </si>
  <si>
    <t>Reported Profit before tax</t>
  </si>
  <si>
    <t>PBT</t>
  </si>
  <si>
    <t>Gain on sale of assets</t>
  </si>
  <si>
    <t>Loss on revaluation of non-current assets</t>
  </si>
  <si>
    <t>The Lines Company summary Balance Sheet</t>
  </si>
  <si>
    <t>The Lines Company summary Income Statement</t>
  </si>
  <si>
    <t>$000, FYE 31 March</t>
  </si>
  <si>
    <t>Trade and other receivables</t>
  </si>
  <si>
    <t>Construction contracts</t>
  </si>
  <si>
    <t>Inventories</t>
  </si>
  <si>
    <t>Current assets</t>
  </si>
  <si>
    <t>Current liabilities</t>
  </si>
  <si>
    <t>Trade and other payables</t>
  </si>
  <si>
    <t>Current tax liability</t>
  </si>
  <si>
    <t>Provision for staff entitlements</t>
  </si>
  <si>
    <t>Working Capital</t>
  </si>
  <si>
    <t>Property, plant and equipment</t>
  </si>
  <si>
    <t>Deferred tax asset</t>
  </si>
  <si>
    <t>Net Tangible Operating Assets</t>
  </si>
  <si>
    <t>Intangible Assets</t>
  </si>
  <si>
    <t>Net Operating Assets</t>
  </si>
  <si>
    <t>Cash and cash equivalents</t>
  </si>
  <si>
    <t>Bank borrowings - non-current</t>
  </si>
  <si>
    <t>Bank borrowings - current</t>
  </si>
  <si>
    <t>Deferred tax liability</t>
  </si>
  <si>
    <t>Minority interest</t>
  </si>
  <si>
    <t>Net debt</t>
  </si>
  <si>
    <t>Net Assets</t>
  </si>
  <si>
    <t>Check</t>
  </si>
  <si>
    <t>Notes:</t>
  </si>
  <si>
    <t>The Lines Company 2014 Annual Report, pages 13 to 15, 23, 41</t>
  </si>
  <si>
    <r>
      <t xml:space="preserve">Convertible notes issued by subsidiary </t>
    </r>
    <r>
      <rPr>
        <vertAlign val="superscript"/>
        <sz val="10"/>
        <color theme="1"/>
        <rFont val="Arial"/>
        <family val="2"/>
      </rPr>
      <t>(3)</t>
    </r>
  </si>
  <si>
    <r>
      <t xml:space="preserve">Subordinated debentures </t>
    </r>
    <r>
      <rPr>
        <vertAlign val="superscript"/>
        <sz val="10"/>
        <color theme="1"/>
        <rFont val="Arial"/>
        <family val="2"/>
      </rPr>
      <t>(4)</t>
    </r>
  </si>
  <si>
    <r>
      <t xml:space="preserve">Goodwill </t>
    </r>
    <r>
      <rPr>
        <vertAlign val="superscript"/>
        <sz val="10"/>
        <color theme="1"/>
        <rFont val="Arial"/>
        <family val="2"/>
      </rPr>
      <t>(1)</t>
    </r>
  </si>
  <si>
    <t>The Lines Company 2014 Annual Report, pages 24, 46-48, 51, 54-57, 62</t>
  </si>
  <si>
    <r>
      <t xml:space="preserve">Less: Inter-company </t>
    </r>
    <r>
      <rPr>
        <vertAlign val="superscript"/>
        <sz val="10"/>
        <color theme="1"/>
        <rFont val="Arial"/>
        <family val="2"/>
      </rPr>
      <t>(1)</t>
    </r>
  </si>
  <si>
    <t>Percent of TLC acquired</t>
  </si>
  <si>
    <r>
      <t xml:space="preserve">Shares acquired by WESTCO </t>
    </r>
    <r>
      <rPr>
        <vertAlign val="superscript"/>
        <sz val="10"/>
        <color theme="1"/>
        <rFont val="Arial"/>
        <family val="2"/>
      </rPr>
      <t>(2)</t>
    </r>
  </si>
  <si>
    <t>Implied Equity Value of 100% of TLC</t>
  </si>
  <si>
    <t>$000</t>
  </si>
  <si>
    <t>000</t>
  </si>
  <si>
    <r>
      <t xml:space="preserve">Other financial liabilities </t>
    </r>
    <r>
      <rPr>
        <vertAlign val="superscript"/>
        <sz val="10"/>
        <color theme="1"/>
        <rFont val="Arial"/>
        <family val="2"/>
      </rPr>
      <t>(2)</t>
    </r>
  </si>
  <si>
    <t>Non-operating financial assets</t>
  </si>
  <si>
    <t>Implied Enterprise Value</t>
  </si>
  <si>
    <r>
      <t xml:space="preserve">Less: Loan to WESTCO to fund transaction </t>
    </r>
    <r>
      <rPr>
        <vertAlign val="superscript"/>
        <sz val="10"/>
        <color theme="1"/>
        <rFont val="Arial"/>
        <family val="2"/>
      </rPr>
      <t>(3)</t>
    </r>
  </si>
  <si>
    <t>(1) The Lines Company 2014 Annual Report, note 27, page 57</t>
  </si>
  <si>
    <t>(3) Loan recognised due to the transaction</t>
  </si>
  <si>
    <t>Less: Investments</t>
  </si>
  <si>
    <t>Plus: Net Debt</t>
  </si>
  <si>
    <t>(4) Book value of minority interest</t>
  </si>
  <si>
    <r>
      <t xml:space="preserve">Plus: Minority Interest </t>
    </r>
    <r>
      <rPr>
        <vertAlign val="superscript"/>
        <sz val="10"/>
        <color theme="1"/>
        <rFont val="Arial"/>
        <family val="2"/>
      </rPr>
      <t>(4)</t>
    </r>
  </si>
  <si>
    <t>Implied Network Enterprise Value</t>
  </si>
  <si>
    <t>Implied Network EV / RAB transaction multiple</t>
  </si>
  <si>
    <r>
      <t xml:space="preserve">Contracting </t>
    </r>
    <r>
      <rPr>
        <vertAlign val="superscript"/>
        <sz val="10"/>
        <color theme="1"/>
        <rFont val="Arial"/>
        <family val="2"/>
      </rPr>
      <t>(6)</t>
    </r>
  </si>
  <si>
    <r>
      <t xml:space="preserve">Meters </t>
    </r>
    <r>
      <rPr>
        <vertAlign val="superscript"/>
        <sz val="10"/>
        <color theme="1"/>
        <rFont val="Arial"/>
        <family val="2"/>
      </rPr>
      <t>(5)</t>
    </r>
  </si>
  <si>
    <t>Implied Network EV discount to RAB</t>
  </si>
  <si>
    <t>Sources:</t>
  </si>
  <si>
    <r>
      <t xml:space="preserve">Equity purchase price </t>
    </r>
    <r>
      <rPr>
        <vertAlign val="superscript"/>
        <sz val="10"/>
        <color theme="1"/>
        <rFont val="Arial"/>
        <family val="2"/>
      </rPr>
      <t>(1)</t>
    </r>
  </si>
  <si>
    <r>
      <t xml:space="preserve">Total The Lines Company shares on issue </t>
    </r>
    <r>
      <rPr>
        <vertAlign val="superscript"/>
        <sz val="10"/>
        <color theme="1"/>
        <rFont val="Arial"/>
        <family val="2"/>
      </rPr>
      <t>(2)</t>
    </r>
  </si>
  <si>
    <t>(6) Assuming 3.0x FY14 Division EBITDA of $2.3m</t>
  </si>
  <si>
    <r>
      <t xml:space="preserve">Generation </t>
    </r>
    <r>
      <rPr>
        <vertAlign val="superscript"/>
        <sz val="10"/>
        <color theme="1"/>
        <rFont val="Arial"/>
        <family val="2"/>
      </rPr>
      <t>(7) (8)</t>
    </r>
  </si>
  <si>
    <t>(7) The Lines Company 2014 Annual Report, note 18, page 48</t>
  </si>
  <si>
    <t>(8) Assuming book value of Generation Division property, plant &amp; equipment</t>
  </si>
  <si>
    <t>(9)  Estimate as at 31 March 2014 from ComCom draft decision model for July 2014</t>
  </si>
  <si>
    <t>EV / EBITDA</t>
  </si>
  <si>
    <t>(5)  Loans of $13.5m to WESTCO for the acquisition of shares in TLC from King Country Energy Power Trust plus 
       other investments of $94,000.</t>
  </si>
  <si>
    <t>(7)  In January 2014, 1,316,312 shares held by King Country Electric Power Trust were purchased by WESTCO 
      Limited for $13.5m.</t>
  </si>
  <si>
    <t>(3)  The convertible notes relate to the Speedys Road Hydro Limited subsidiary issuance to minority shareholders.  
       This subsidiary is part of the Generation division.</t>
  </si>
  <si>
    <t>(2)  Interest rate swaps</t>
  </si>
  <si>
    <t>(1)  Goodwill is attributable to the investment in John Deere Electrical Limited, part of the Contracting division</t>
  </si>
  <si>
    <t>(6)  13,163,120 issued and fully paid up ordinary shares.</t>
  </si>
  <si>
    <t>(5) Assuming book value of Meters Division property, plant &amp; equipment plus inventory</t>
  </si>
  <si>
    <t>Less: total non-Network Enterprise Values</t>
  </si>
  <si>
    <t xml:space="preserve">(4)  Subordinated Debentures to The Waitomo Energy Services Customer Trust (WESCT) and The North King Country 
       Development Trust (NKCDT) are recognised at fair values, which are not considered to be materially different 
       from the principal values. </t>
  </si>
  <si>
    <t>(2) The Lines Company 2014 Annual Report, note 27, page 57, Companies Office</t>
  </si>
  <si>
    <t>The Lines Company implied transaction multiple</t>
  </si>
  <si>
    <r>
      <t xml:space="preserve">Revenue </t>
    </r>
    <r>
      <rPr>
        <vertAlign val="superscript"/>
        <sz val="10"/>
        <color theme="1"/>
        <rFont val="Arial"/>
        <family val="2"/>
      </rPr>
      <t>(1)</t>
    </r>
  </si>
  <si>
    <r>
      <t xml:space="preserve">Operating expenses </t>
    </r>
    <r>
      <rPr>
        <vertAlign val="superscript"/>
        <sz val="10"/>
        <color theme="1"/>
        <rFont val="Arial"/>
        <family val="2"/>
      </rPr>
      <t>(1)</t>
    </r>
  </si>
  <si>
    <t>(2)  Removal of profit component from inter-company transactions between Contracting and Network</t>
  </si>
  <si>
    <t>(1)  Includes inter-company revenue and expense between Contracting and Network</t>
  </si>
  <si>
    <r>
      <rPr>
        <i/>
        <sz val="10"/>
        <color theme="1"/>
        <rFont val="Arial"/>
        <family val="2"/>
      </rPr>
      <t>Less:</t>
    </r>
    <r>
      <rPr>
        <sz val="10"/>
        <color theme="1"/>
        <rFont val="Arial"/>
        <family val="2"/>
      </rPr>
      <t xml:space="preserve"> inter-company transaction profit </t>
    </r>
    <r>
      <rPr>
        <vertAlign val="superscript"/>
        <sz val="10"/>
        <color theme="1"/>
        <rFont val="Arial"/>
        <family val="2"/>
      </rPr>
      <t>(2)</t>
    </r>
  </si>
  <si>
    <r>
      <t xml:space="preserve">Other financial assets </t>
    </r>
    <r>
      <rPr>
        <vertAlign val="superscript"/>
        <sz val="10"/>
        <color theme="1"/>
        <rFont val="Arial"/>
        <family val="2"/>
      </rPr>
      <t>(5)</t>
    </r>
  </si>
  <si>
    <r>
      <t>Shareholders' Equity</t>
    </r>
    <r>
      <rPr>
        <sz val="10"/>
        <color theme="1"/>
        <rFont val="Arial"/>
        <family val="2"/>
      </rPr>
      <t xml:space="preserve"> </t>
    </r>
    <r>
      <rPr>
        <vertAlign val="superscript"/>
        <sz val="10"/>
        <color theme="1"/>
        <rFont val="Arial"/>
        <family val="2"/>
      </rPr>
      <t>(6) (7)</t>
    </r>
  </si>
  <si>
    <r>
      <t xml:space="preserve">Network RAB </t>
    </r>
    <r>
      <rPr>
        <vertAlign val="superscript"/>
        <sz val="10"/>
        <color theme="1"/>
        <rFont val="Arial"/>
        <family val="2"/>
      </rPr>
      <t>(9)</t>
    </r>
  </si>
  <si>
    <t>Available disclosures for assets by division</t>
  </si>
  <si>
    <t>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</si>
</sst>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 mmm\ yy"/>
    <numFmt numFmtId="165" formatCode="&quot;FY&quot;yy"/>
    <numFmt numFmtId="166" formatCode="#,##0_);\(#,##0\);\-_);@_)"/>
    <numFmt numFmtId="167" formatCode="0.0%_);\(0.0%\);\-_);@_)"/>
    <numFmt numFmtId="168" formatCode="&quot;$&quot;#,##0_);\(&quot;$&quot;#,##0\);\-_);@_)"/>
    <numFmt numFmtId="169" formatCode="0.0\x_);\(0.0\x\);\-_x_);@_x_)"/>
    <numFmt numFmtId="170" formatCode="0.00\x_);\(0.00\x\);\-_x_);@_x_)"/>
  </numFmts>
  <fonts count="16" x14ac:knownFonts="1">
    <font>
      <sz val="11"/>
      <color theme="1"/>
      <name val="Calibri"/>
      <family val="2"/>
      <scheme val="minor"/>
    </font>
    <font>
      <b/>
      <sz val="10"/>
      <color theme="0"/>
      <name val="Arial"/>
      <family val="2"/>
    </font>
    <font>
      <sz val="10"/>
      <color theme="1"/>
      <name val="Arial"/>
      <family val="2"/>
    </font>
    <font>
      <b/>
      <sz val="10"/>
      <color theme="1"/>
      <name val="Arial"/>
      <family val="2"/>
    </font>
    <font>
      <b/>
      <i/>
      <sz val="10"/>
      <color theme="1"/>
      <name val="Arial"/>
      <family val="2"/>
    </font>
    <font>
      <i/>
      <sz val="10"/>
      <color theme="1"/>
      <name val="Arial"/>
      <family val="2"/>
    </font>
    <font>
      <sz val="8"/>
      <color theme="1"/>
      <name val="Arial"/>
      <family val="2"/>
    </font>
    <font>
      <b/>
      <sz val="8"/>
      <color theme="1"/>
      <name val="Arial"/>
      <family val="2"/>
    </font>
    <font>
      <vertAlign val="superscript"/>
      <sz val="10"/>
      <color theme="1"/>
      <name val="Arial"/>
      <family val="2"/>
    </font>
    <font>
      <sz val="9"/>
      <color indexed="81"/>
      <name val="Tahoma"/>
      <family val="2"/>
    </font>
    <font>
      <b/>
      <i/>
      <sz val="10"/>
      <color theme="0"/>
      <name val="Arial"/>
      <family val="2"/>
    </font>
    <font>
      <i/>
      <sz val="8"/>
      <color theme="1"/>
      <name val="Arial"/>
      <family val="2"/>
    </font>
    <font>
      <b/>
      <i/>
      <sz val="8"/>
      <color theme="1"/>
      <name val="Arial"/>
      <family val="2"/>
    </font>
    <font>
      <b/>
      <sz val="10"/>
      <name val="Arial"/>
      <family val="2"/>
    </font>
    <font>
      <sz val="10"/>
      <color rgb="FF002060"/>
      <name val="Arial"/>
      <family val="2"/>
    </font>
    <font>
      <sz val="10"/>
      <name val="Arial"/>
      <family val="2"/>
    </font>
  </fonts>
  <fills count="4">
    <fill>
      <patternFill patternType="none"/>
    </fill>
    <fill>
      <patternFill patternType="gray125"/>
    </fill>
    <fill>
      <patternFill patternType="solid">
        <fgColor rgb="FF002060"/>
        <bgColor indexed="64"/>
      </patternFill>
    </fill>
    <fill>
      <patternFill patternType="lightUp"/>
    </fill>
  </fills>
  <borders count="32">
    <border>
      <left/>
      <right/>
      <top/>
      <bottom/>
      <diagonal/>
    </border>
    <border>
      <left style="dotted">
        <color theme="8" tint="-0.24994659260841701"/>
      </left>
      <right/>
      <top/>
      <bottom/>
      <diagonal/>
    </border>
    <border>
      <left/>
      <right/>
      <top/>
      <bottom style="thin">
        <color theme="8" tint="-0.24994659260841701"/>
      </bottom>
      <diagonal/>
    </border>
    <border>
      <left style="dotted">
        <color theme="8" tint="-0.24994659260841701"/>
      </left>
      <right/>
      <top/>
      <bottom style="thin">
        <color theme="8" tint="-0.24994659260841701"/>
      </bottom>
      <diagonal/>
    </border>
    <border>
      <left/>
      <right/>
      <top style="thin">
        <color theme="8" tint="-0.24994659260841701"/>
      </top>
      <bottom/>
      <diagonal/>
    </border>
    <border>
      <left style="dotted">
        <color theme="8" tint="-0.24994659260841701"/>
      </left>
      <right/>
      <top style="thin">
        <color theme="8" tint="-0.24994659260841701"/>
      </top>
      <bottom/>
      <diagonal/>
    </border>
    <border>
      <left/>
      <right/>
      <top style="thin">
        <color theme="8" tint="-0.24994659260841701"/>
      </top>
      <bottom style="medium">
        <color theme="8" tint="-0.24994659260841701"/>
      </bottom>
      <diagonal/>
    </border>
    <border>
      <left style="dotted">
        <color theme="8" tint="-0.24994659260841701"/>
      </left>
      <right/>
      <top style="thin">
        <color theme="8" tint="-0.24994659260841701"/>
      </top>
      <bottom style="medium">
        <color theme="8" tint="-0.24994659260841701"/>
      </bottom>
      <diagonal/>
    </border>
    <border>
      <left style="thin">
        <color theme="8" tint="-0.24994659260841701"/>
      </left>
      <right/>
      <top/>
      <bottom/>
      <diagonal/>
    </border>
    <border>
      <left style="thin">
        <color theme="8" tint="-0.24994659260841701"/>
      </left>
      <right/>
      <top/>
      <bottom style="thin">
        <color theme="8" tint="-0.24994659260841701"/>
      </bottom>
      <diagonal/>
    </border>
    <border>
      <left style="thin">
        <color theme="8" tint="-0.24994659260841701"/>
      </left>
      <right/>
      <top style="thin">
        <color theme="8" tint="-0.24994659260841701"/>
      </top>
      <bottom/>
      <diagonal/>
    </border>
    <border>
      <left style="thin">
        <color theme="8" tint="-0.24994659260841701"/>
      </left>
      <right/>
      <top style="thin">
        <color theme="8" tint="-0.24994659260841701"/>
      </top>
      <bottom style="medium">
        <color theme="8" tint="-0.24994659260841701"/>
      </bottom>
      <diagonal/>
    </border>
    <border>
      <left/>
      <right/>
      <top style="thin">
        <color theme="0"/>
      </top>
      <bottom style="thin">
        <color theme="0"/>
      </bottom>
      <diagonal/>
    </border>
    <border>
      <left/>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dotted">
        <color theme="8" tint="-0.24994659260841701"/>
      </left>
      <right/>
      <top style="thin">
        <color theme="8" tint="-0.24994659260841701"/>
      </top>
      <bottom style="thin">
        <color theme="8" tint="-0.24994659260841701"/>
      </bottom>
      <diagonal/>
    </border>
    <border>
      <left/>
      <right style="thin">
        <color theme="8" tint="-0.24994659260841701"/>
      </right>
      <top/>
      <bottom style="thin">
        <color theme="8" tint="-0.24994659260841701"/>
      </bottom>
      <diagonal/>
    </border>
    <border>
      <left/>
      <right style="thin">
        <color theme="8" tint="-0.24994659260841701"/>
      </right>
      <top/>
      <bottom/>
      <diagonal/>
    </border>
    <border>
      <left/>
      <right style="thin">
        <color theme="8" tint="-0.24994659260841701"/>
      </right>
      <top style="thin">
        <color theme="8" tint="-0.24994659260841701"/>
      </top>
      <bottom/>
      <diagonal/>
    </border>
    <border>
      <left/>
      <right style="thin">
        <color theme="8" tint="-0.24994659260841701"/>
      </right>
      <top style="thin">
        <color theme="8" tint="-0.24994659260841701"/>
      </top>
      <bottom style="thin">
        <color theme="8" tint="-0.24994659260841701"/>
      </bottom>
      <diagonal/>
    </border>
    <border>
      <left/>
      <right style="thin">
        <color theme="8" tint="-0.24994659260841701"/>
      </right>
      <top style="thin">
        <color theme="8" tint="-0.24994659260841701"/>
      </top>
      <bottom style="medium">
        <color theme="8" tint="-0.24994659260841701"/>
      </bottom>
      <diagonal/>
    </border>
    <border>
      <left/>
      <right/>
      <top/>
      <bottom style="medium">
        <color theme="8" tint="-0.24994659260841701"/>
      </bottom>
      <diagonal/>
    </border>
    <border>
      <left style="thin">
        <color theme="8" tint="-0.24994659260841701"/>
      </left>
      <right/>
      <top style="thin">
        <color theme="0"/>
      </top>
      <bottom/>
      <diagonal/>
    </border>
    <border>
      <left/>
      <right style="thin">
        <color theme="8" tint="-0.24994659260841701"/>
      </right>
      <top style="thin">
        <color theme="0"/>
      </top>
      <bottom/>
      <diagonal/>
    </border>
    <border>
      <left/>
      <right/>
      <top style="thin">
        <color theme="0"/>
      </top>
      <bottom style="thin">
        <color theme="8" tint="-0.24994659260841701"/>
      </bottom>
      <diagonal/>
    </border>
    <border>
      <left/>
      <right/>
      <top style="thin">
        <color theme="0"/>
      </top>
      <bottom/>
      <diagonal/>
    </border>
    <border>
      <left/>
      <right style="thin">
        <color theme="0"/>
      </right>
      <top style="thin">
        <color theme="0"/>
      </top>
      <bottom style="thin">
        <color theme="0"/>
      </bottom>
      <diagonal/>
    </border>
    <border>
      <left/>
      <right style="thin">
        <color theme="0"/>
      </right>
      <top/>
      <bottom style="thin">
        <color theme="8" tint="-0.24994659260841701"/>
      </bottom>
      <diagonal/>
    </border>
    <border>
      <left/>
      <right style="thin">
        <color theme="0"/>
      </right>
      <top/>
      <bottom/>
      <diagonal/>
    </border>
    <border>
      <left/>
      <right style="thin">
        <color theme="0"/>
      </right>
      <top style="thin">
        <color theme="8" tint="-0.24994659260841701"/>
      </top>
      <bottom/>
      <diagonal/>
    </border>
    <border>
      <left/>
      <right style="thin">
        <color theme="0"/>
      </right>
      <top style="thin">
        <color theme="8" tint="-0.24994659260841701"/>
      </top>
      <bottom style="thin">
        <color theme="8" tint="-0.24994659260841701"/>
      </bottom>
      <diagonal/>
    </border>
    <border>
      <left/>
      <right style="thin">
        <color theme="0"/>
      </right>
      <top style="thin">
        <color theme="8" tint="-0.24994659260841701"/>
      </top>
      <bottom style="medium">
        <color theme="8" tint="-0.24994659260841701"/>
      </bottom>
      <diagonal/>
    </border>
  </borders>
  <cellStyleXfs count="1">
    <xf numFmtId="0" fontId="0" fillId="0" borderId="0"/>
  </cellStyleXfs>
  <cellXfs count="101">
    <xf numFmtId="0" fontId="0" fillId="0" borderId="0" xfId="0"/>
    <xf numFmtId="0" fontId="2" fillId="0" borderId="0" xfId="0" applyFont="1"/>
    <xf numFmtId="0" fontId="3" fillId="0" borderId="0" xfId="0" applyFont="1"/>
    <xf numFmtId="0" fontId="3" fillId="0" borderId="2" xfId="0" applyFont="1" applyBorder="1"/>
    <xf numFmtId="165" fontId="3" fillId="0" borderId="2" xfId="0" applyNumberFormat="1" applyFont="1" applyBorder="1"/>
    <xf numFmtId="165" fontId="3" fillId="0" borderId="3" xfId="0" applyNumberFormat="1" applyFont="1" applyBorder="1"/>
    <xf numFmtId="0" fontId="2" fillId="0" borderId="0" xfId="0" applyFont="1" applyBorder="1"/>
    <xf numFmtId="0" fontId="2" fillId="0" borderId="4" xfId="0" applyFont="1" applyBorder="1"/>
    <xf numFmtId="166" fontId="2" fillId="0" borderId="0" xfId="0" applyNumberFormat="1" applyFont="1"/>
    <xf numFmtId="166" fontId="2" fillId="0" borderId="1" xfId="0" applyNumberFormat="1" applyFont="1" applyBorder="1"/>
    <xf numFmtId="166" fontId="2" fillId="0" borderId="0" xfId="0" applyNumberFormat="1" applyFont="1" applyBorder="1"/>
    <xf numFmtId="166" fontId="2" fillId="0" borderId="4" xfId="0" applyNumberFormat="1" applyFont="1" applyBorder="1"/>
    <xf numFmtId="166" fontId="2" fillId="0" borderId="5" xfId="0" applyNumberFormat="1" applyFont="1" applyBorder="1"/>
    <xf numFmtId="0" fontId="3" fillId="0" borderId="4" xfId="0" applyFont="1" applyBorder="1"/>
    <xf numFmtId="166" fontId="3" fillId="0" borderId="4" xfId="0" applyNumberFormat="1" applyFont="1" applyBorder="1"/>
    <xf numFmtId="166" fontId="3" fillId="0" borderId="5" xfId="0" applyNumberFormat="1" applyFont="1" applyBorder="1"/>
    <xf numFmtId="0" fontId="3" fillId="0" borderId="6" xfId="0" applyFont="1" applyBorder="1"/>
    <xf numFmtId="166" fontId="3" fillId="0" borderId="6" xfId="0" applyNumberFormat="1" applyFont="1" applyBorder="1"/>
    <xf numFmtId="166" fontId="3" fillId="0" borderId="7" xfId="0" applyNumberFormat="1" applyFont="1" applyBorder="1"/>
    <xf numFmtId="165" fontId="3" fillId="0" borderId="9" xfId="0" applyNumberFormat="1" applyFont="1" applyBorder="1"/>
    <xf numFmtId="166" fontId="2" fillId="0" borderId="8" xfId="0" applyNumberFormat="1" applyFont="1" applyBorder="1"/>
    <xf numFmtId="166" fontId="3" fillId="0" borderId="10" xfId="0" applyNumberFormat="1" applyFont="1" applyBorder="1"/>
    <xf numFmtId="166" fontId="3" fillId="0" borderId="11" xfId="0" applyNumberFormat="1" applyFont="1" applyBorder="1"/>
    <xf numFmtId="0" fontId="1" fillId="2" borderId="12" xfId="0" applyFont="1" applyFill="1" applyBorder="1" applyAlignment="1">
      <alignment vertical="center"/>
    </xf>
    <xf numFmtId="0" fontId="4" fillId="0" borderId="4" xfId="0" applyFont="1" applyBorder="1"/>
    <xf numFmtId="0" fontId="4" fillId="0" borderId="0" xfId="0" applyFont="1"/>
    <xf numFmtId="166" fontId="4" fillId="0" borderId="10" xfId="0" applyNumberFormat="1" applyFont="1" applyBorder="1"/>
    <xf numFmtId="166" fontId="4" fillId="0" borderId="4" xfId="0" applyNumberFormat="1" applyFont="1" applyBorder="1"/>
    <xf numFmtId="165" fontId="4" fillId="0" borderId="9" xfId="0" applyNumberFormat="1" applyFont="1" applyBorder="1"/>
    <xf numFmtId="166" fontId="5" fillId="0" borderId="8" xfId="0" applyNumberFormat="1" applyFont="1" applyBorder="1"/>
    <xf numFmtId="166" fontId="5" fillId="0" borderId="0" xfId="0" applyNumberFormat="1" applyFont="1" applyBorder="1"/>
    <xf numFmtId="166" fontId="4" fillId="0" borderId="11" xfId="0" applyNumberFormat="1" applyFont="1" applyBorder="1"/>
    <xf numFmtId="166" fontId="4" fillId="0" borderId="6" xfId="0" applyNumberFormat="1" applyFont="1" applyBorder="1"/>
    <xf numFmtId="0" fontId="3" fillId="0" borderId="13" xfId="0" applyFont="1" applyBorder="1"/>
    <xf numFmtId="166" fontId="3" fillId="0" borderId="13" xfId="0" applyNumberFormat="1" applyFont="1" applyBorder="1"/>
    <xf numFmtId="0" fontId="3" fillId="0" borderId="0" xfId="0" applyFont="1" applyBorder="1"/>
    <xf numFmtId="166" fontId="3" fillId="0" borderId="0" xfId="0" applyNumberFormat="1" applyFont="1" applyBorder="1"/>
    <xf numFmtId="0" fontId="5" fillId="0" borderId="0" xfId="0" applyFont="1"/>
    <xf numFmtId="166" fontId="5" fillId="0" borderId="0" xfId="0" applyNumberFormat="1" applyFont="1"/>
    <xf numFmtId="166" fontId="2" fillId="0" borderId="10" xfId="0" applyNumberFormat="1" applyFont="1" applyBorder="1"/>
    <xf numFmtId="166" fontId="3" fillId="0" borderId="14" xfId="0" applyNumberFormat="1" applyFont="1" applyBorder="1"/>
    <xf numFmtId="166" fontId="3" fillId="0" borderId="15" xfId="0" applyNumberFormat="1" applyFont="1" applyBorder="1"/>
    <xf numFmtId="0" fontId="6" fillId="0" borderId="0" xfId="0" applyFont="1"/>
    <xf numFmtId="0" fontId="7" fillId="0" borderId="0" xfId="0" applyFont="1"/>
    <xf numFmtId="0" fontId="10" fillId="2" borderId="12" xfId="0" applyFont="1" applyFill="1" applyBorder="1" applyAlignment="1">
      <alignment vertical="center"/>
    </xf>
    <xf numFmtId="0" fontId="11" fillId="0" borderId="0" xfId="0" applyFont="1"/>
    <xf numFmtId="0" fontId="12" fillId="0" borderId="0" xfId="0" applyFont="1"/>
    <xf numFmtId="165" fontId="4" fillId="0" borderId="16" xfId="0" applyNumberFormat="1" applyFont="1" applyBorder="1"/>
    <xf numFmtId="166" fontId="5" fillId="0" borderId="17" xfId="0" applyNumberFormat="1" applyFont="1" applyBorder="1"/>
    <xf numFmtId="166" fontId="5" fillId="0" borderId="10" xfId="0" applyNumberFormat="1" applyFont="1" applyBorder="1"/>
    <xf numFmtId="166" fontId="5" fillId="0" borderId="18" xfId="0" applyNumberFormat="1" applyFont="1" applyBorder="1"/>
    <xf numFmtId="166" fontId="4" fillId="0" borderId="14" xfId="0" applyNumberFormat="1" applyFont="1" applyBorder="1"/>
    <xf numFmtId="166" fontId="4" fillId="0" borderId="19" xfId="0" applyNumberFormat="1" applyFont="1" applyBorder="1"/>
    <xf numFmtId="166" fontId="4" fillId="0" borderId="20" xfId="0" applyNumberFormat="1" applyFont="1" applyBorder="1"/>
    <xf numFmtId="0" fontId="5" fillId="0" borderId="8" xfId="0" applyFont="1" applyBorder="1"/>
    <xf numFmtId="0" fontId="5" fillId="0" borderId="17" xfId="0" applyFont="1" applyBorder="1"/>
    <xf numFmtId="166" fontId="4" fillId="0" borderId="8" xfId="0" applyNumberFormat="1" applyFont="1" applyBorder="1"/>
    <xf numFmtId="166" fontId="4" fillId="0" borderId="17" xfId="0" applyNumberFormat="1" applyFont="1" applyBorder="1"/>
    <xf numFmtId="166" fontId="4" fillId="0" borderId="18" xfId="0" applyNumberFormat="1" applyFont="1" applyBorder="1"/>
    <xf numFmtId="167" fontId="5" fillId="0" borderId="4" xfId="0" applyNumberFormat="1" applyFont="1" applyBorder="1"/>
    <xf numFmtId="0" fontId="5" fillId="0" borderId="4" xfId="0" applyFont="1" applyBorder="1"/>
    <xf numFmtId="0" fontId="2" fillId="0" borderId="13" xfId="0" applyFont="1" applyBorder="1"/>
    <xf numFmtId="0" fontId="3" fillId="0" borderId="2" xfId="0" quotePrefix="1" applyFont="1" applyBorder="1"/>
    <xf numFmtId="168" fontId="2" fillId="0" borderId="0" xfId="0" applyNumberFormat="1" applyFont="1"/>
    <xf numFmtId="168" fontId="3" fillId="0" borderId="6" xfId="0" applyNumberFormat="1" applyFont="1" applyBorder="1"/>
    <xf numFmtId="164" fontId="3" fillId="0" borderId="2" xfId="0" applyNumberFormat="1" applyFont="1" applyBorder="1"/>
    <xf numFmtId="168" fontId="3" fillId="0" borderId="13" xfId="0" applyNumberFormat="1" applyFont="1" applyBorder="1"/>
    <xf numFmtId="0" fontId="2" fillId="0" borderId="0" xfId="0" applyFont="1" applyAlignment="1">
      <alignment horizontal="left" indent="1"/>
    </xf>
    <xf numFmtId="166" fontId="2" fillId="0" borderId="13" xfId="0" applyNumberFormat="1" applyFont="1" applyBorder="1"/>
    <xf numFmtId="0" fontId="3" fillId="0" borderId="21" xfId="0" applyFont="1" applyBorder="1"/>
    <xf numFmtId="167" fontId="4" fillId="0" borderId="21" xfId="0" applyNumberFormat="1" applyFont="1" applyBorder="1"/>
    <xf numFmtId="168" fontId="13" fillId="0" borderId="0" xfId="0" applyNumberFormat="1" applyFont="1" applyBorder="1"/>
    <xf numFmtId="169" fontId="2" fillId="0" borderId="0" xfId="0" applyNumberFormat="1" applyFont="1"/>
    <xf numFmtId="169" fontId="14" fillId="0" borderId="0" xfId="0" applyNumberFormat="1" applyFont="1"/>
    <xf numFmtId="166" fontId="15" fillId="0" borderId="4" xfId="0" applyNumberFormat="1" applyFont="1" applyBorder="1"/>
    <xf numFmtId="166" fontId="15" fillId="0" borderId="0" xfId="0" applyNumberFormat="1" applyFont="1"/>
    <xf numFmtId="0" fontId="3" fillId="0" borderId="0" xfId="0" applyFont="1" applyAlignment="1">
      <alignment horizontal="right"/>
    </xf>
    <xf numFmtId="0" fontId="6" fillId="0" borderId="0" xfId="0" applyFont="1" applyAlignment="1">
      <alignment vertical="top"/>
    </xf>
    <xf numFmtId="0" fontId="2" fillId="0" borderId="0" xfId="0" applyFont="1" applyAlignment="1">
      <alignment vertical="top"/>
    </xf>
    <xf numFmtId="165" fontId="3" fillId="0" borderId="24" xfId="0" applyNumberFormat="1" applyFont="1" applyBorder="1"/>
    <xf numFmtId="0" fontId="3" fillId="0" borderId="0" xfId="0" applyFont="1" applyAlignment="1">
      <alignment horizontal="center"/>
    </xf>
    <xf numFmtId="0" fontId="3" fillId="0" borderId="25"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6" fillId="0" borderId="0" xfId="0" applyFont="1" applyAlignment="1">
      <alignment horizontal="left" vertical="top" wrapText="1"/>
    </xf>
    <xf numFmtId="0" fontId="1" fillId="2" borderId="26" xfId="0" applyFont="1" applyFill="1" applyBorder="1" applyAlignment="1">
      <alignment vertical="center"/>
    </xf>
    <xf numFmtId="165" fontId="3" fillId="0" borderId="27" xfId="0" applyNumberFormat="1" applyFont="1" applyBorder="1"/>
    <xf numFmtId="166" fontId="2" fillId="0" borderId="28" xfId="0" applyNumberFormat="1" applyFont="1" applyBorder="1"/>
    <xf numFmtId="166" fontId="2" fillId="0" borderId="29" xfId="0" applyNumberFormat="1" applyFont="1" applyBorder="1"/>
    <xf numFmtId="166" fontId="3" fillId="0" borderId="30" xfId="0" applyNumberFormat="1" applyFont="1" applyBorder="1"/>
    <xf numFmtId="166" fontId="3" fillId="0" borderId="31" xfId="0" applyNumberFormat="1" applyFont="1" applyBorder="1"/>
    <xf numFmtId="0" fontId="2" fillId="0" borderId="28" xfId="0" applyFont="1" applyBorder="1"/>
    <xf numFmtId="166" fontId="3" fillId="0" borderId="28" xfId="0" applyNumberFormat="1" applyFont="1" applyBorder="1"/>
    <xf numFmtId="170" fontId="3" fillId="0" borderId="4" xfId="0" applyNumberFormat="1" applyFont="1" applyBorder="1"/>
    <xf numFmtId="0" fontId="15" fillId="0" borderId="0" xfId="0" applyFont="1"/>
    <xf numFmtId="166" fontId="2" fillId="3" borderId="0" xfId="0" applyNumberFormat="1" applyFont="1" applyFill="1"/>
    <xf numFmtId="166" fontId="2" fillId="3" borderId="1" xfId="0" applyNumberFormat="1" applyFont="1" applyFill="1" applyBorder="1"/>
    <xf numFmtId="166" fontId="2" fillId="3" borderId="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showGridLines="0" tabSelected="1" zoomScaleNormal="100" workbookViewId="0"/>
  </sheetViews>
  <sheetFormatPr defaultRowHeight="12.75" outlineLevelCol="1" x14ac:dyDescent="0.2"/>
  <cols>
    <col min="1" max="1" width="2.7109375" style="1" customWidth="1"/>
    <col min="2" max="2" width="45.7109375" style="1" customWidth="1"/>
    <col min="3" max="3" width="14.7109375" style="1" customWidth="1"/>
    <col min="4" max="4" width="2.7109375" style="1" customWidth="1"/>
    <col min="5" max="5" width="12.7109375" style="1" customWidth="1" outlineLevel="1"/>
    <col min="6" max="7" width="9.140625" style="1" customWidth="1" outlineLevel="1"/>
    <col min="8" max="16384" width="9.140625" style="1"/>
  </cols>
  <sheetData>
    <row r="2" spans="2:3" ht="20.100000000000001" customHeight="1" x14ac:dyDescent="0.2">
      <c r="B2" s="23" t="s">
        <v>96</v>
      </c>
      <c r="C2" s="23"/>
    </row>
    <row r="3" spans="2:3" x14ac:dyDescent="0.2">
      <c r="B3" s="62" t="s">
        <v>61</v>
      </c>
      <c r="C3" s="65">
        <v>41659</v>
      </c>
    </row>
    <row r="4" spans="2:3" ht="14.25" x14ac:dyDescent="0.2">
      <c r="B4" s="1" t="s">
        <v>78</v>
      </c>
      <c r="C4" s="63">
        <v>13500</v>
      </c>
    </row>
    <row r="5" spans="2:3" x14ac:dyDescent="0.2">
      <c r="C5" s="8"/>
    </row>
    <row r="6" spans="2:3" ht="14.25" x14ac:dyDescent="0.2">
      <c r="B6" s="1" t="s">
        <v>58</v>
      </c>
      <c r="C6" s="8">
        <v>1316.3119999999999</v>
      </c>
    </row>
    <row r="7" spans="2:3" ht="14.25" x14ac:dyDescent="0.2">
      <c r="B7" s="1" t="s">
        <v>79</v>
      </c>
      <c r="C7" s="8">
        <v>13163.12</v>
      </c>
    </row>
    <row r="8" spans="2:3" x14ac:dyDescent="0.2">
      <c r="B8" s="60" t="s">
        <v>57</v>
      </c>
      <c r="C8" s="59">
        <f>C6/C7</f>
        <v>9.9999999999999992E-2</v>
      </c>
    </row>
    <row r="10" spans="2:3" x14ac:dyDescent="0.2">
      <c r="B10" s="33" t="s">
        <v>59</v>
      </c>
      <c r="C10" s="66">
        <f>C4/C8</f>
        <v>135000</v>
      </c>
    </row>
    <row r="12" spans="2:3" x14ac:dyDescent="0.2">
      <c r="B12" s="62" t="s">
        <v>60</v>
      </c>
      <c r="C12" s="65">
        <v>41729</v>
      </c>
    </row>
    <row r="13" spans="2:3" x14ac:dyDescent="0.2">
      <c r="B13" s="67" t="s">
        <v>63</v>
      </c>
      <c r="C13" s="8">
        <f>-BS!D31</f>
        <v>-13594</v>
      </c>
    </row>
    <row r="14" spans="2:3" ht="14.25" x14ac:dyDescent="0.2">
      <c r="B14" s="67" t="s">
        <v>65</v>
      </c>
      <c r="C14" s="8">
        <v>13500</v>
      </c>
    </row>
    <row r="15" spans="2:3" x14ac:dyDescent="0.2">
      <c r="B15" s="7" t="s">
        <v>68</v>
      </c>
      <c r="C15" s="11">
        <f>SUM(C13:C14)</f>
        <v>-94</v>
      </c>
    </row>
    <row r="16" spans="2:3" x14ac:dyDescent="0.2">
      <c r="B16" s="1" t="s">
        <v>69</v>
      </c>
      <c r="C16" s="8">
        <f>-BS!D29</f>
        <v>52945</v>
      </c>
    </row>
    <row r="17" spans="2:7" ht="14.25" x14ac:dyDescent="0.2">
      <c r="B17" s="1" t="s">
        <v>71</v>
      </c>
      <c r="C17" s="8">
        <f>-BS!D33</f>
        <v>885</v>
      </c>
    </row>
    <row r="18" spans="2:7" ht="13.5" thickBot="1" x14ac:dyDescent="0.25">
      <c r="B18" s="16" t="s">
        <v>64</v>
      </c>
      <c r="C18" s="64">
        <f>SUM(C10,C16,C15,C17)</f>
        <v>188736</v>
      </c>
    </row>
    <row r="21" spans="2:7" ht="15" customHeight="1" x14ac:dyDescent="0.2">
      <c r="B21" s="62" t="s">
        <v>60</v>
      </c>
      <c r="C21" s="65"/>
      <c r="E21" s="76" t="s">
        <v>5</v>
      </c>
      <c r="F21" s="80" t="s">
        <v>85</v>
      </c>
      <c r="G21" s="80"/>
    </row>
    <row r="22" spans="2:7" ht="14.25" x14ac:dyDescent="0.2">
      <c r="B22" s="7" t="s">
        <v>75</v>
      </c>
      <c r="C22" s="74">
        <f>-BS!J18</f>
        <v>-7516</v>
      </c>
      <c r="E22" s="75">
        <f>IS!F11</f>
        <v>3176</v>
      </c>
      <c r="F22" s="72">
        <f>-C22/E22</f>
        <v>2.3664987405541562</v>
      </c>
      <c r="G22" s="73"/>
    </row>
    <row r="23" spans="2:7" ht="14.25" x14ac:dyDescent="0.2">
      <c r="B23" s="1" t="s">
        <v>74</v>
      </c>
      <c r="C23" s="75">
        <f>-E23*G23</f>
        <v>-6507</v>
      </c>
      <c r="E23" s="75">
        <f>IS!H11</f>
        <v>2169</v>
      </c>
      <c r="F23" s="72">
        <f>-C23/E23</f>
        <v>3</v>
      </c>
      <c r="G23" s="73">
        <v>3</v>
      </c>
    </row>
    <row r="24" spans="2:7" ht="14.25" x14ac:dyDescent="0.2">
      <c r="B24" s="1" t="s">
        <v>81</v>
      </c>
      <c r="C24" s="75">
        <f>-BS!N18</f>
        <v>-19556</v>
      </c>
      <c r="E24" s="75">
        <f>IS!J11</f>
        <v>-245</v>
      </c>
      <c r="F24" s="72">
        <f>-C24/E24</f>
        <v>-79.820408163265313</v>
      </c>
      <c r="G24" s="72"/>
    </row>
    <row r="25" spans="2:7" x14ac:dyDescent="0.2">
      <c r="B25" s="61" t="s">
        <v>93</v>
      </c>
      <c r="C25" s="68">
        <f>SUM(C22:C24)</f>
        <v>-33579</v>
      </c>
      <c r="E25" s="97"/>
    </row>
    <row r="26" spans="2:7" ht="13.5" thickBot="1" x14ac:dyDescent="0.25">
      <c r="B26" s="16" t="s">
        <v>72</v>
      </c>
      <c r="C26" s="64">
        <f>SUM(C18,C25)</f>
        <v>155157</v>
      </c>
      <c r="E26" s="75">
        <f>IS!D11</f>
        <v>22300</v>
      </c>
      <c r="F26" s="72">
        <f>C26/E26</f>
        <v>6.9577130044843045</v>
      </c>
    </row>
    <row r="28" spans="2:7" ht="14.25" x14ac:dyDescent="0.2">
      <c r="B28" s="35" t="s">
        <v>104</v>
      </c>
      <c r="C28" s="71">
        <v>178684</v>
      </c>
    </row>
    <row r="30" spans="2:7" ht="13.5" customHeight="1" x14ac:dyDescent="0.2">
      <c r="B30" s="13" t="s">
        <v>73</v>
      </c>
      <c r="C30" s="96">
        <f>C26/C28</f>
        <v>0.86833180363099105</v>
      </c>
    </row>
    <row r="31" spans="2:7" ht="13.5" customHeight="1" thickBot="1" x14ac:dyDescent="0.25">
      <c r="B31" s="69" t="s">
        <v>76</v>
      </c>
      <c r="C31" s="70">
        <f>C26/C28-1</f>
        <v>-0.13166819636900895</v>
      </c>
    </row>
    <row r="33" spans="2:2" s="43" customFormat="1" ht="11.25" x14ac:dyDescent="0.2">
      <c r="B33" s="43" t="s">
        <v>77</v>
      </c>
    </row>
    <row r="34" spans="2:2" s="42" customFormat="1" ht="12.95" customHeight="1" x14ac:dyDescent="0.2">
      <c r="B34" s="42" t="s">
        <v>66</v>
      </c>
    </row>
    <row r="35" spans="2:2" s="42" customFormat="1" ht="12.95" customHeight="1" x14ac:dyDescent="0.2">
      <c r="B35" s="42" t="s">
        <v>95</v>
      </c>
    </row>
    <row r="36" spans="2:2" s="42" customFormat="1" ht="12.95" customHeight="1" x14ac:dyDescent="0.2">
      <c r="B36" s="42" t="s">
        <v>82</v>
      </c>
    </row>
    <row r="37" spans="2:2" s="42" customFormat="1" ht="12.95" customHeight="1" x14ac:dyDescent="0.2">
      <c r="B37" s="42" t="s">
        <v>84</v>
      </c>
    </row>
    <row r="38" spans="2:2" s="42" customFormat="1" ht="11.25" x14ac:dyDescent="0.2"/>
    <row r="39" spans="2:2" s="43" customFormat="1" ht="11.25" x14ac:dyDescent="0.2">
      <c r="B39" s="43" t="s">
        <v>50</v>
      </c>
    </row>
    <row r="40" spans="2:2" s="42" customFormat="1" ht="12.95" customHeight="1" x14ac:dyDescent="0.2">
      <c r="B40" s="42" t="s">
        <v>67</v>
      </c>
    </row>
    <row r="41" spans="2:2" s="42" customFormat="1" ht="12.95" customHeight="1" x14ac:dyDescent="0.2">
      <c r="B41" s="42" t="s">
        <v>70</v>
      </c>
    </row>
    <row r="42" spans="2:2" s="42" customFormat="1" ht="12.95" customHeight="1" x14ac:dyDescent="0.2">
      <c r="B42" s="42" t="s">
        <v>92</v>
      </c>
    </row>
    <row r="43" spans="2:2" s="42" customFormat="1" ht="12.95" customHeight="1" x14ac:dyDescent="0.2">
      <c r="B43" s="42" t="s">
        <v>80</v>
      </c>
    </row>
    <row r="44" spans="2:2" s="42" customFormat="1" ht="12.95" customHeight="1" x14ac:dyDescent="0.2">
      <c r="B44" s="42" t="s">
        <v>83</v>
      </c>
    </row>
    <row r="45" spans="2:2" s="42" customFormat="1" ht="11.25" x14ac:dyDescent="0.2"/>
    <row r="46" spans="2:2" s="42" customFormat="1" ht="11.25" x14ac:dyDescent="0.2"/>
    <row r="47" spans="2:2" s="42" customFormat="1" ht="11.25" x14ac:dyDescent="0.2"/>
  </sheetData>
  <mergeCells count="1">
    <mergeCell ref="F21:G21"/>
  </mergeCells>
  <pageMargins left="0.7" right="0.7" top="0.75" bottom="0.75" header="0.3" footer="0.3"/>
  <pageSetup paperSize="9" orientation="portrait" r:id="rId1"/>
  <ignoredErrors>
    <ignoredError sqref="B3 B12 B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3"/>
  <sheetViews>
    <sheetView showGridLines="0" zoomScaleNormal="100" workbookViewId="0"/>
  </sheetViews>
  <sheetFormatPr defaultRowHeight="12.75" outlineLevelRow="2" outlineLevelCol="1" x14ac:dyDescent="0.2"/>
  <cols>
    <col min="1" max="1" width="2.7109375" style="1" customWidth="1"/>
    <col min="2" max="2" width="35.7109375" style="1" customWidth="1"/>
    <col min="3" max="14" width="8.7109375" style="1" customWidth="1"/>
    <col min="15" max="15" width="2.7109375" style="1" customWidth="1"/>
    <col min="16" max="16" width="35.7109375" style="1" hidden="1" customWidth="1" outlineLevel="1"/>
    <col min="17" max="18" width="14.7109375" style="1" hidden="1" customWidth="1" outlineLevel="1"/>
    <col min="19" max="20" width="2.7109375" style="1" hidden="1" customWidth="1" outlineLevel="1"/>
    <col min="21" max="22" width="9.140625" style="37" hidden="1" customWidth="1" outlineLevel="1"/>
    <col min="23" max="23" width="2.7109375" style="1" hidden="1" customWidth="1" outlineLevel="1"/>
    <col min="24" max="24" width="9.140625" style="1" collapsed="1"/>
    <col min="25" max="16384" width="9.140625" style="1"/>
  </cols>
  <sheetData>
    <row r="2" spans="2:22" ht="20.100000000000001" customHeight="1" x14ac:dyDescent="0.2">
      <c r="B2" s="23" t="s">
        <v>26</v>
      </c>
      <c r="C2" s="23"/>
      <c r="D2" s="23"/>
      <c r="E2" s="23"/>
      <c r="F2" s="23"/>
      <c r="G2" s="23"/>
      <c r="H2" s="23"/>
      <c r="I2" s="23"/>
      <c r="J2" s="23"/>
      <c r="K2" s="23"/>
      <c r="L2" s="23"/>
      <c r="M2" s="23"/>
      <c r="N2" s="23"/>
      <c r="P2" s="23" t="s">
        <v>26</v>
      </c>
      <c r="Q2" s="23"/>
      <c r="R2" s="23"/>
      <c r="U2" s="44"/>
      <c r="V2" s="44"/>
    </row>
    <row r="3" spans="2:22" x14ac:dyDescent="0.2">
      <c r="B3" s="2"/>
      <c r="C3" s="80" t="s">
        <v>0</v>
      </c>
      <c r="D3" s="80"/>
      <c r="E3" s="84" t="s">
        <v>8</v>
      </c>
      <c r="F3" s="85"/>
      <c r="G3" s="84" t="s">
        <v>9</v>
      </c>
      <c r="H3" s="85"/>
      <c r="I3" s="84" t="s">
        <v>10</v>
      </c>
      <c r="J3" s="85"/>
      <c r="K3" s="84" t="s">
        <v>12</v>
      </c>
      <c r="L3" s="85"/>
      <c r="M3" s="86" t="s">
        <v>106</v>
      </c>
      <c r="N3" s="85"/>
      <c r="P3" s="2"/>
      <c r="Q3" s="81"/>
      <c r="R3" s="81"/>
      <c r="U3" s="82" t="s">
        <v>19</v>
      </c>
      <c r="V3" s="83"/>
    </row>
    <row r="4" spans="2:22" x14ac:dyDescent="0.2">
      <c r="B4" s="3" t="s">
        <v>27</v>
      </c>
      <c r="C4" s="4">
        <v>41364</v>
      </c>
      <c r="D4" s="4">
        <v>41729</v>
      </c>
      <c r="E4" s="5">
        <v>41364</v>
      </c>
      <c r="F4" s="4">
        <v>41729</v>
      </c>
      <c r="G4" s="5">
        <v>41364</v>
      </c>
      <c r="H4" s="4">
        <v>41729</v>
      </c>
      <c r="I4" s="5">
        <v>41364</v>
      </c>
      <c r="J4" s="4">
        <v>41729</v>
      </c>
      <c r="K4" s="5">
        <v>41364</v>
      </c>
      <c r="L4" s="4">
        <v>41729</v>
      </c>
      <c r="M4" s="19">
        <v>41364</v>
      </c>
      <c r="N4" s="4">
        <v>41729</v>
      </c>
      <c r="P4" s="3" t="s">
        <v>27</v>
      </c>
      <c r="Q4" s="4">
        <v>41364</v>
      </c>
      <c r="R4" s="4">
        <v>41729</v>
      </c>
      <c r="U4" s="28">
        <v>41364</v>
      </c>
      <c r="V4" s="47">
        <v>41729</v>
      </c>
    </row>
    <row r="5" spans="2:22" ht="14.25" x14ac:dyDescent="0.2">
      <c r="B5" s="1" t="s">
        <v>97</v>
      </c>
      <c r="C5" s="8">
        <v>34574</v>
      </c>
      <c r="D5" s="8">
        <v>36476</v>
      </c>
      <c r="E5" s="9">
        <v>3257</v>
      </c>
      <c r="F5" s="10">
        <v>3564</v>
      </c>
      <c r="G5" s="9">
        <f>2196+3786+1553+6619</f>
        <v>14154</v>
      </c>
      <c r="H5" s="10">
        <f>2247+4849+1816+5014</f>
        <v>13926</v>
      </c>
      <c r="I5" s="9">
        <v>1521</v>
      </c>
      <c r="J5" s="10">
        <v>1389</v>
      </c>
      <c r="K5" s="9">
        <v>39</v>
      </c>
      <c r="L5" s="10">
        <v>30</v>
      </c>
      <c r="M5" s="20">
        <f>SUM(C5,E5,G5,I5,K5)</f>
        <v>53545</v>
      </c>
      <c r="N5" s="10">
        <f>SUM(D5,F5,H5,J5,L5)</f>
        <v>55385</v>
      </c>
      <c r="P5" s="1" t="s">
        <v>1</v>
      </c>
      <c r="Q5" s="10">
        <v>45373</v>
      </c>
      <c r="R5" s="10">
        <v>48555</v>
      </c>
      <c r="U5" s="29">
        <f t="shared" ref="U5:U7" si="0">Q5-M5</f>
        <v>-8172</v>
      </c>
      <c r="V5" s="48">
        <f t="shared" ref="V5:V7" si="1">R5-N5</f>
        <v>-6830</v>
      </c>
    </row>
    <row r="6" spans="2:22" x14ac:dyDescent="0.2">
      <c r="B6" s="1" t="s">
        <v>2</v>
      </c>
      <c r="C6" s="8">
        <v>-5889</v>
      </c>
      <c r="D6" s="8">
        <v>-6724</v>
      </c>
      <c r="E6" s="9"/>
      <c r="F6" s="10"/>
      <c r="G6" s="9"/>
      <c r="H6" s="10"/>
      <c r="I6" s="9"/>
      <c r="J6" s="10"/>
      <c r="K6" s="9"/>
      <c r="L6" s="10"/>
      <c r="M6" s="20">
        <f t="shared" ref="M6:N6" si="2">SUM(C6,E6,G6,I6,K6)</f>
        <v>-5889</v>
      </c>
      <c r="N6" s="10">
        <f t="shared" si="2"/>
        <v>-6724</v>
      </c>
      <c r="P6" s="1" t="s">
        <v>2</v>
      </c>
      <c r="Q6" s="10">
        <v>-5889</v>
      </c>
      <c r="R6" s="10">
        <v>-6724</v>
      </c>
      <c r="U6" s="29">
        <f t="shared" si="0"/>
        <v>0</v>
      </c>
      <c r="V6" s="48">
        <f t="shared" si="1"/>
        <v>0</v>
      </c>
    </row>
    <row r="7" spans="2:22" x14ac:dyDescent="0.2">
      <c r="B7" s="13" t="s">
        <v>3</v>
      </c>
      <c r="C7" s="14">
        <f>SUM(C5:C6)</f>
        <v>28685</v>
      </c>
      <c r="D7" s="14">
        <f>SUM(D5:D6)</f>
        <v>29752</v>
      </c>
      <c r="E7" s="15">
        <f t="shared" ref="E7:J7" si="3">SUM(E5:E6)</f>
        <v>3257</v>
      </c>
      <c r="F7" s="14">
        <f t="shared" si="3"/>
        <v>3564</v>
      </c>
      <c r="G7" s="15">
        <f t="shared" si="3"/>
        <v>14154</v>
      </c>
      <c r="H7" s="14">
        <f t="shared" si="3"/>
        <v>13926</v>
      </c>
      <c r="I7" s="15">
        <f t="shared" si="3"/>
        <v>1521</v>
      </c>
      <c r="J7" s="14">
        <f t="shared" si="3"/>
        <v>1389</v>
      </c>
      <c r="K7" s="15">
        <f t="shared" ref="K7" si="4">SUM(K5:K6)</f>
        <v>39</v>
      </c>
      <c r="L7" s="14">
        <f t="shared" ref="L7" si="5">SUM(L5:L6)</f>
        <v>30</v>
      </c>
      <c r="M7" s="21">
        <f t="shared" ref="M7" si="6">SUM(M5:M6)</f>
        <v>47656</v>
      </c>
      <c r="N7" s="14">
        <f t="shared" ref="N7" si="7">SUM(N5:N6)</f>
        <v>48661</v>
      </c>
      <c r="P7" s="13" t="s">
        <v>3</v>
      </c>
      <c r="Q7" s="14">
        <f t="shared" ref="Q7" si="8">SUM(Q5:Q6)</f>
        <v>39484</v>
      </c>
      <c r="R7" s="14">
        <f t="shared" ref="R7" si="9">SUM(R5:R6)</f>
        <v>41831</v>
      </c>
      <c r="U7" s="26">
        <f t="shared" si="0"/>
        <v>-8172</v>
      </c>
      <c r="V7" s="58">
        <f t="shared" si="1"/>
        <v>-6830</v>
      </c>
    </row>
    <row r="8" spans="2:22" x14ac:dyDescent="0.2">
      <c r="C8" s="8"/>
      <c r="D8" s="8"/>
      <c r="E8" s="9"/>
      <c r="F8" s="10"/>
      <c r="G8" s="9"/>
      <c r="H8" s="10"/>
      <c r="I8" s="9"/>
      <c r="J8" s="10"/>
      <c r="K8" s="9"/>
      <c r="L8" s="10"/>
      <c r="M8" s="20"/>
      <c r="N8" s="10"/>
      <c r="Q8" s="10"/>
      <c r="R8" s="10"/>
      <c r="U8" s="29"/>
      <c r="V8" s="48"/>
    </row>
    <row r="9" spans="2:22" ht="14.25" x14ac:dyDescent="0.2">
      <c r="B9" s="1" t="s">
        <v>98</v>
      </c>
      <c r="C9" s="8">
        <f>-13969-C13</f>
        <v>-6822</v>
      </c>
      <c r="D9" s="8">
        <f>-14653-D13</f>
        <v>-7452</v>
      </c>
      <c r="E9" s="9">
        <v>-285</v>
      </c>
      <c r="F9" s="10">
        <v>-388</v>
      </c>
      <c r="G9" s="9">
        <f>-12784-G13</f>
        <v>-12127</v>
      </c>
      <c r="H9" s="10">
        <f>-12374-H13</f>
        <v>-11663</v>
      </c>
      <c r="I9" s="9">
        <f>-2132-I13</f>
        <v>-1528</v>
      </c>
      <c r="J9" s="10">
        <f>-2327-J13</f>
        <v>-1634</v>
      </c>
      <c r="K9" s="9">
        <f>-4512-K13-K27-K28</f>
        <v>-4243</v>
      </c>
      <c r="L9" s="10">
        <f>-4168-L13-L27-L28</f>
        <v>-3996</v>
      </c>
      <c r="M9" s="20">
        <f t="shared" ref="M9:N9" si="10">SUM(C9,E9,G9,I9,K9)</f>
        <v>-25005</v>
      </c>
      <c r="N9" s="10">
        <f t="shared" si="10"/>
        <v>-25133</v>
      </c>
      <c r="P9" s="1" t="s">
        <v>4</v>
      </c>
      <c r="Q9" s="10">
        <f>-37133-Q6-Q13-SUM(Q35:Q37)</f>
        <v>-17235</v>
      </c>
      <c r="R9" s="10">
        <f>-39023-R6-R13-SUM(R35:R37)</f>
        <v>-18397</v>
      </c>
      <c r="U9" s="29">
        <f t="shared" ref="U9:U10" si="11">Q9-M9</f>
        <v>7770</v>
      </c>
      <c r="V9" s="48">
        <f t="shared" ref="V9:V10" si="12">R9-N9</f>
        <v>6736</v>
      </c>
    </row>
    <row r="10" spans="2:22" ht="14.25" x14ac:dyDescent="0.2">
      <c r="B10" s="1" t="s">
        <v>101</v>
      </c>
      <c r="C10" s="8"/>
      <c r="D10" s="8"/>
      <c r="E10" s="9"/>
      <c r="F10" s="10"/>
      <c r="G10" s="9">
        <v>-402</v>
      </c>
      <c r="H10" s="10">
        <v>-94</v>
      </c>
      <c r="I10" s="9"/>
      <c r="J10" s="10"/>
      <c r="K10" s="9"/>
      <c r="L10" s="10"/>
      <c r="M10" s="20">
        <f t="shared" ref="M10" si="13">SUM(C10,E10,G10,I10,K10)</f>
        <v>-402</v>
      </c>
      <c r="N10" s="10">
        <f t="shared" ref="N10" si="14">SUM(D10,F10,H10,J10,L10)</f>
        <v>-94</v>
      </c>
      <c r="P10" s="1" t="s">
        <v>56</v>
      </c>
      <c r="Q10" s="10"/>
      <c r="R10" s="10"/>
      <c r="U10" s="29">
        <f t="shared" si="11"/>
        <v>402</v>
      </c>
      <c r="V10" s="48">
        <f t="shared" si="12"/>
        <v>94</v>
      </c>
    </row>
    <row r="11" spans="2:22" x14ac:dyDescent="0.2">
      <c r="B11" s="13" t="s">
        <v>16</v>
      </c>
      <c r="C11" s="14">
        <f>SUM(C7,C9:C10)</f>
        <v>21863</v>
      </c>
      <c r="D11" s="14">
        <f t="shared" ref="D11:N11" si="15">SUM(D7,D9:D10)</f>
        <v>22300</v>
      </c>
      <c r="E11" s="15">
        <f t="shared" si="15"/>
        <v>2972</v>
      </c>
      <c r="F11" s="14">
        <f t="shared" si="15"/>
        <v>3176</v>
      </c>
      <c r="G11" s="15">
        <f t="shared" si="15"/>
        <v>1625</v>
      </c>
      <c r="H11" s="14">
        <f t="shared" si="15"/>
        <v>2169</v>
      </c>
      <c r="I11" s="15">
        <f t="shared" si="15"/>
        <v>-7</v>
      </c>
      <c r="J11" s="14">
        <f t="shared" si="15"/>
        <v>-245</v>
      </c>
      <c r="K11" s="15">
        <f t="shared" si="15"/>
        <v>-4204</v>
      </c>
      <c r="L11" s="14">
        <f t="shared" si="15"/>
        <v>-3966</v>
      </c>
      <c r="M11" s="21">
        <f t="shared" si="15"/>
        <v>22249</v>
      </c>
      <c r="N11" s="14">
        <f t="shared" si="15"/>
        <v>23434</v>
      </c>
      <c r="P11" s="13" t="s">
        <v>16</v>
      </c>
      <c r="Q11" s="14">
        <f t="shared" ref="Q11:R11" si="16">SUM(Q7,Q9:Q10)</f>
        <v>22249</v>
      </c>
      <c r="R11" s="14">
        <f t="shared" si="16"/>
        <v>23434</v>
      </c>
      <c r="U11" s="26">
        <f>Q11-M11</f>
        <v>0</v>
      </c>
      <c r="V11" s="58">
        <f>R11-N11</f>
        <v>0</v>
      </c>
    </row>
    <row r="12" spans="2:22" x14ac:dyDescent="0.2">
      <c r="C12" s="8"/>
      <c r="D12" s="8"/>
      <c r="E12" s="9"/>
      <c r="F12" s="10"/>
      <c r="G12" s="9"/>
      <c r="H12" s="10"/>
      <c r="I12" s="9"/>
      <c r="J12" s="10"/>
      <c r="K12" s="9"/>
      <c r="L12" s="10"/>
      <c r="M12" s="20"/>
      <c r="N12" s="10"/>
      <c r="Q12" s="10"/>
      <c r="R12" s="10"/>
      <c r="U12" s="29"/>
      <c r="V12" s="48"/>
    </row>
    <row r="13" spans="2:22" x14ac:dyDescent="0.2">
      <c r="B13" s="1" t="s">
        <v>6</v>
      </c>
      <c r="C13" s="8">
        <v>-7147</v>
      </c>
      <c r="D13" s="8">
        <v>-7201</v>
      </c>
      <c r="E13" s="9">
        <v>-1959</v>
      </c>
      <c r="F13" s="10">
        <v>-2011</v>
      </c>
      <c r="G13" s="9">
        <v>-657</v>
      </c>
      <c r="H13" s="10">
        <v>-711</v>
      </c>
      <c r="I13" s="9">
        <v>-604</v>
      </c>
      <c r="J13" s="10">
        <v>-693</v>
      </c>
      <c r="K13" s="9">
        <v>-269</v>
      </c>
      <c r="L13" s="10">
        <v>-172</v>
      </c>
      <c r="M13" s="20">
        <f t="shared" ref="M13:N13" si="17">SUM(C13,E13,G13,I13,K13)</f>
        <v>-10636</v>
      </c>
      <c r="N13" s="10">
        <f t="shared" si="17"/>
        <v>-10788</v>
      </c>
      <c r="P13" s="1" t="s">
        <v>6</v>
      </c>
      <c r="Q13" s="10">
        <v>-10636</v>
      </c>
      <c r="R13" s="10">
        <v>-10788</v>
      </c>
      <c r="U13" s="29">
        <f>Q13-M13</f>
        <v>0</v>
      </c>
      <c r="V13" s="48">
        <f>R13-N13</f>
        <v>0</v>
      </c>
    </row>
    <row r="14" spans="2:22" ht="13.5" thickBot="1" x14ac:dyDescent="0.25">
      <c r="B14" s="16" t="s">
        <v>15</v>
      </c>
      <c r="C14" s="17">
        <f>SUM(C11,C13:C13)</f>
        <v>14716</v>
      </c>
      <c r="D14" s="17">
        <f>SUM(D11,D13:D13)</f>
        <v>15099</v>
      </c>
      <c r="E14" s="18">
        <f>SUM(E11,E13:E13)</f>
        <v>1013</v>
      </c>
      <c r="F14" s="17">
        <f>SUM(F11,F13:F13)</f>
        <v>1165</v>
      </c>
      <c r="G14" s="18">
        <f>SUM(G11,G13:G13)</f>
        <v>968</v>
      </c>
      <c r="H14" s="17">
        <f>SUM(H11,H13:H13)</f>
        <v>1458</v>
      </c>
      <c r="I14" s="18">
        <f>SUM(I11,I13:I13)</f>
        <v>-611</v>
      </c>
      <c r="J14" s="17">
        <f>SUM(J11,J13:J13)</f>
        <v>-938</v>
      </c>
      <c r="K14" s="18">
        <f>SUM(K11,K13:K13)</f>
        <v>-4473</v>
      </c>
      <c r="L14" s="17">
        <f>SUM(L11,L13:L13)</f>
        <v>-4138</v>
      </c>
      <c r="M14" s="22">
        <f>SUM(M11,M13:M13)</f>
        <v>11613</v>
      </c>
      <c r="N14" s="17">
        <f>SUM(N11,N13:N13)</f>
        <v>12646</v>
      </c>
      <c r="P14" s="16" t="s">
        <v>15</v>
      </c>
      <c r="Q14" s="17">
        <f>SUM(Q11,Q13:Q13)</f>
        <v>11613</v>
      </c>
      <c r="R14" s="17">
        <f>SUM(R11,R13:R13)</f>
        <v>12646</v>
      </c>
      <c r="U14" s="31">
        <f>Q14-M14</f>
        <v>0</v>
      </c>
      <c r="V14" s="53">
        <f>R14-N14</f>
        <v>0</v>
      </c>
    </row>
    <row r="15" spans="2:22" x14ac:dyDescent="0.2">
      <c r="B15" s="42"/>
      <c r="C15" s="42"/>
      <c r="D15" s="42"/>
      <c r="E15" s="42"/>
      <c r="F15" s="42"/>
      <c r="G15" s="42"/>
      <c r="H15" s="42"/>
      <c r="I15" s="42"/>
      <c r="J15" s="42"/>
      <c r="K15" s="42"/>
      <c r="L15" s="42"/>
      <c r="M15" s="42"/>
      <c r="N15" s="42"/>
      <c r="O15" s="42"/>
      <c r="P15" s="42"/>
      <c r="Q15" s="42"/>
      <c r="R15" s="42"/>
      <c r="U15" s="45"/>
      <c r="V15" s="45"/>
    </row>
    <row r="16" spans="2:22" s="2" customFormat="1" x14ac:dyDescent="0.2">
      <c r="B16" s="43" t="s">
        <v>77</v>
      </c>
      <c r="C16" s="43"/>
      <c r="D16" s="43"/>
      <c r="E16" s="43"/>
      <c r="F16" s="43"/>
      <c r="G16" s="43"/>
      <c r="H16" s="43"/>
      <c r="I16" s="43"/>
      <c r="J16" s="43"/>
      <c r="K16" s="43"/>
      <c r="L16" s="43"/>
      <c r="M16" s="43"/>
      <c r="N16" s="43"/>
      <c r="O16" s="43"/>
      <c r="P16" s="43" t="s">
        <v>77</v>
      </c>
      <c r="Q16" s="43"/>
      <c r="R16" s="43"/>
      <c r="S16" s="1"/>
      <c r="T16" s="1"/>
      <c r="U16" s="46"/>
      <c r="V16" s="46"/>
    </row>
    <row r="17" spans="2:22" ht="12.95" customHeight="1" x14ac:dyDescent="0.2">
      <c r="B17" s="42" t="s">
        <v>51</v>
      </c>
      <c r="C17" s="42"/>
      <c r="D17" s="42"/>
      <c r="E17" s="42"/>
      <c r="F17" s="42"/>
      <c r="G17" s="42"/>
      <c r="H17" s="42"/>
      <c r="I17" s="42"/>
      <c r="J17" s="42"/>
      <c r="K17" s="42"/>
      <c r="L17" s="42"/>
      <c r="M17" s="42"/>
      <c r="N17" s="42"/>
      <c r="O17" s="42"/>
      <c r="P17" s="42" t="s">
        <v>51</v>
      </c>
      <c r="Q17" s="42"/>
      <c r="R17" s="42"/>
      <c r="U17" s="45"/>
      <c r="V17" s="45"/>
    </row>
    <row r="18" spans="2:22" x14ac:dyDescent="0.2">
      <c r="B18" s="42"/>
      <c r="C18" s="42"/>
      <c r="D18" s="42"/>
      <c r="E18" s="42"/>
      <c r="F18" s="42"/>
      <c r="G18" s="42"/>
      <c r="H18" s="42"/>
      <c r="I18" s="42"/>
      <c r="J18" s="42"/>
      <c r="K18" s="42"/>
      <c r="L18" s="42"/>
      <c r="M18" s="42"/>
      <c r="N18" s="42"/>
      <c r="O18" s="42"/>
      <c r="P18" s="42"/>
      <c r="Q18" s="42"/>
      <c r="R18" s="42"/>
      <c r="U18" s="45"/>
      <c r="V18" s="45"/>
    </row>
    <row r="19" spans="2:22" x14ac:dyDescent="0.2">
      <c r="B19" s="43" t="s">
        <v>50</v>
      </c>
      <c r="C19" s="42"/>
      <c r="D19" s="42"/>
      <c r="E19" s="42"/>
      <c r="F19" s="42"/>
      <c r="G19" s="42"/>
      <c r="H19" s="42"/>
      <c r="I19" s="42"/>
      <c r="J19" s="42"/>
      <c r="K19" s="42"/>
      <c r="L19" s="42"/>
      <c r="M19" s="42"/>
      <c r="N19" s="42"/>
      <c r="O19" s="42"/>
      <c r="P19" s="43" t="s">
        <v>50</v>
      </c>
      <c r="Q19" s="42"/>
      <c r="R19" s="42"/>
      <c r="U19" s="45"/>
      <c r="V19" s="45"/>
    </row>
    <row r="20" spans="2:22" ht="12.95" customHeight="1" x14ac:dyDescent="0.2">
      <c r="B20" s="42" t="s">
        <v>100</v>
      </c>
      <c r="C20" s="42"/>
      <c r="D20" s="42"/>
      <c r="E20" s="42"/>
      <c r="F20" s="42"/>
      <c r="G20" s="42"/>
      <c r="H20" s="42"/>
      <c r="I20" s="42"/>
      <c r="J20" s="42"/>
      <c r="K20" s="42"/>
      <c r="L20" s="42"/>
      <c r="M20" s="42"/>
      <c r="N20" s="42"/>
      <c r="O20" s="42"/>
      <c r="P20" s="42"/>
      <c r="Q20" s="42"/>
      <c r="R20" s="42"/>
      <c r="U20" s="45"/>
      <c r="V20" s="45"/>
    </row>
    <row r="21" spans="2:22" ht="12.95" customHeight="1" x14ac:dyDescent="0.2">
      <c r="B21" s="42" t="s">
        <v>99</v>
      </c>
      <c r="C21" s="42"/>
      <c r="D21" s="42"/>
      <c r="E21" s="42"/>
      <c r="F21" s="42"/>
      <c r="G21" s="42"/>
      <c r="H21" s="42"/>
      <c r="I21" s="42"/>
      <c r="J21" s="42"/>
      <c r="K21" s="42"/>
      <c r="L21" s="42"/>
      <c r="M21" s="42"/>
      <c r="N21" s="42"/>
      <c r="O21" s="42"/>
      <c r="P21" s="42"/>
      <c r="Q21" s="42"/>
      <c r="R21" s="42"/>
      <c r="U21" s="45"/>
      <c r="V21" s="45"/>
    </row>
    <row r="22" spans="2:22" x14ac:dyDescent="0.2">
      <c r="B22" s="42"/>
      <c r="C22" s="42"/>
      <c r="D22" s="42"/>
      <c r="E22" s="42"/>
      <c r="F22" s="42"/>
      <c r="G22" s="42"/>
      <c r="H22" s="42"/>
      <c r="I22" s="42"/>
      <c r="J22" s="42"/>
      <c r="K22" s="42"/>
      <c r="L22" s="42"/>
      <c r="M22" s="42"/>
      <c r="N22" s="42"/>
      <c r="O22" s="42"/>
      <c r="P22" s="42"/>
      <c r="Q22" s="42"/>
      <c r="R22" s="42"/>
      <c r="U22" s="45"/>
      <c r="V22" s="45"/>
    </row>
    <row r="23" spans="2:22" x14ac:dyDescent="0.2">
      <c r="B23" s="42"/>
      <c r="C23" s="42"/>
      <c r="D23" s="42"/>
      <c r="E23" s="42"/>
      <c r="F23" s="42"/>
      <c r="G23" s="42"/>
      <c r="H23" s="42"/>
      <c r="I23" s="42"/>
      <c r="J23" s="42"/>
      <c r="K23" s="42"/>
      <c r="L23" s="42"/>
      <c r="M23" s="42"/>
      <c r="N23" s="42"/>
      <c r="O23" s="42"/>
      <c r="P23" s="42"/>
      <c r="Q23" s="42"/>
      <c r="R23" s="42"/>
      <c r="U23" s="45"/>
      <c r="V23" s="45"/>
    </row>
    <row r="26" spans="2:22" hidden="1" outlineLevel="1" x14ac:dyDescent="0.2"/>
    <row r="27" spans="2:22" hidden="1" outlineLevel="1" x14ac:dyDescent="0.2">
      <c r="B27" s="1" t="s">
        <v>13</v>
      </c>
      <c r="C27" s="8"/>
      <c r="D27" s="8"/>
      <c r="E27" s="9"/>
      <c r="F27" s="10"/>
      <c r="G27" s="9"/>
      <c r="H27" s="10"/>
      <c r="I27" s="9"/>
      <c r="J27" s="10"/>
      <c r="K27" s="9">
        <f>-316*0</f>
        <v>0</v>
      </c>
      <c r="L27" s="10"/>
      <c r="M27" s="20">
        <f t="shared" ref="M27:M28" si="18">SUM(C27,E27,G27,I27,K27)</f>
        <v>0</v>
      </c>
      <c r="N27" s="10">
        <f t="shared" ref="N27:N28" si="19">SUM(D27,F27,H27,J27,L27)</f>
        <v>0</v>
      </c>
      <c r="Q27" s="20"/>
      <c r="R27" s="10"/>
      <c r="U27" s="29">
        <f>Q27-M27</f>
        <v>0</v>
      </c>
      <c r="V27" s="30">
        <f>R27-N27</f>
        <v>0</v>
      </c>
    </row>
    <row r="28" spans="2:22" hidden="1" outlineLevel="1" x14ac:dyDescent="0.2">
      <c r="B28" s="1" t="s">
        <v>14</v>
      </c>
      <c r="C28" s="8"/>
      <c r="D28" s="8"/>
      <c r="E28" s="9"/>
      <c r="F28" s="10"/>
      <c r="G28" s="9"/>
      <c r="H28" s="10"/>
      <c r="I28" s="9"/>
      <c r="J28" s="10"/>
      <c r="K28" s="9"/>
      <c r="L28" s="10">
        <f>-711*0</f>
        <v>0</v>
      </c>
      <c r="M28" s="20">
        <f t="shared" si="18"/>
        <v>0</v>
      </c>
      <c r="N28" s="10">
        <f t="shared" si="19"/>
        <v>0</v>
      </c>
      <c r="Q28" s="20"/>
      <c r="R28" s="10"/>
      <c r="U28" s="29">
        <f>Q28-M28</f>
        <v>0</v>
      </c>
      <c r="V28" s="30">
        <f>R28-N28</f>
        <v>0</v>
      </c>
    </row>
    <row r="29" spans="2:22" ht="13.5" hidden="1" outlineLevel="1" thickBot="1" x14ac:dyDescent="0.25">
      <c r="B29" s="16" t="s">
        <v>11</v>
      </c>
      <c r="C29" s="17">
        <f t="shared" ref="C29:N29" si="20">SUM(C14,C27:C28)</f>
        <v>14716</v>
      </c>
      <c r="D29" s="17">
        <f t="shared" si="20"/>
        <v>15099</v>
      </c>
      <c r="E29" s="18">
        <f t="shared" si="20"/>
        <v>1013</v>
      </c>
      <c r="F29" s="17">
        <f t="shared" si="20"/>
        <v>1165</v>
      </c>
      <c r="G29" s="18">
        <f t="shared" si="20"/>
        <v>968</v>
      </c>
      <c r="H29" s="17">
        <f t="shared" si="20"/>
        <v>1458</v>
      </c>
      <c r="I29" s="18">
        <f t="shared" si="20"/>
        <v>-611</v>
      </c>
      <c r="J29" s="17">
        <f t="shared" si="20"/>
        <v>-938</v>
      </c>
      <c r="K29" s="18">
        <f t="shared" si="20"/>
        <v>-4473</v>
      </c>
      <c r="L29" s="17">
        <f t="shared" si="20"/>
        <v>-4138</v>
      </c>
      <c r="M29" s="22">
        <f t="shared" si="20"/>
        <v>11613</v>
      </c>
      <c r="N29" s="17">
        <f t="shared" si="20"/>
        <v>12646</v>
      </c>
      <c r="Q29" s="22">
        <f>SUM(Q14,Q27:Q28)</f>
        <v>11613</v>
      </c>
      <c r="R29" s="17">
        <f>SUM(R14,R27:R28)</f>
        <v>12646</v>
      </c>
      <c r="U29" s="31">
        <f>SUM(U14,U27:U28)</f>
        <v>0</v>
      </c>
      <c r="V29" s="32">
        <f>SUM(V14,V27:V28)</f>
        <v>0</v>
      </c>
    </row>
    <row r="30" spans="2:22" hidden="1" outlineLevel="2" x14ac:dyDescent="0.2"/>
    <row r="31" spans="2:22" hidden="1" outlineLevel="2" x14ac:dyDescent="0.2">
      <c r="B31" s="1" t="s">
        <v>7</v>
      </c>
      <c r="M31" s="20">
        <v>11613</v>
      </c>
      <c r="N31" s="10">
        <v>12646</v>
      </c>
      <c r="Q31" s="20">
        <f>M31</f>
        <v>11613</v>
      </c>
      <c r="R31" s="10">
        <f>N31</f>
        <v>12646</v>
      </c>
    </row>
    <row r="32" spans="2:22" s="25" customFormat="1" hidden="1" outlineLevel="2" x14ac:dyDescent="0.2">
      <c r="B32" s="24" t="s">
        <v>49</v>
      </c>
      <c r="C32" s="24"/>
      <c r="D32" s="24"/>
      <c r="E32" s="24"/>
      <c r="F32" s="24"/>
      <c r="G32" s="24"/>
      <c r="H32" s="24"/>
      <c r="I32" s="24"/>
      <c r="J32" s="24"/>
      <c r="K32" s="24"/>
      <c r="L32" s="24"/>
      <c r="M32" s="26">
        <f>M29-M31</f>
        <v>0</v>
      </c>
      <c r="N32" s="27">
        <f>N29-N31</f>
        <v>0</v>
      </c>
      <c r="Q32" s="26">
        <f>Q29-Q31</f>
        <v>0</v>
      </c>
      <c r="R32" s="27">
        <f>R29-R31</f>
        <v>0</v>
      </c>
      <c r="S32" s="1"/>
      <c r="T32" s="1"/>
    </row>
    <row r="33" spans="2:22" hidden="1" outlineLevel="1" collapsed="1" x14ac:dyDescent="0.2"/>
    <row r="34" spans="2:22" hidden="1" outlineLevel="1" x14ac:dyDescent="0.2">
      <c r="B34" s="1" t="s">
        <v>18</v>
      </c>
      <c r="C34" s="8"/>
      <c r="D34" s="10"/>
      <c r="E34" s="10"/>
      <c r="F34" s="10"/>
      <c r="G34" s="10"/>
      <c r="H34" s="10"/>
      <c r="I34" s="10"/>
      <c r="J34" s="10"/>
      <c r="K34" s="10"/>
      <c r="L34" s="10"/>
      <c r="M34" s="10"/>
      <c r="N34" s="10"/>
      <c r="Q34" s="20">
        <v>4</v>
      </c>
      <c r="R34" s="10">
        <v>36</v>
      </c>
    </row>
    <row r="35" spans="2:22" hidden="1" outlineLevel="1" x14ac:dyDescent="0.2">
      <c r="B35" s="1" t="s">
        <v>23</v>
      </c>
      <c r="C35" s="8"/>
      <c r="D35" s="10"/>
      <c r="E35" s="10"/>
      <c r="F35" s="10"/>
      <c r="G35" s="10"/>
      <c r="H35" s="10"/>
      <c r="I35" s="10"/>
      <c r="J35" s="10"/>
      <c r="K35" s="10"/>
      <c r="L35" s="10"/>
      <c r="M35" s="10"/>
      <c r="N35" s="10"/>
      <c r="Q35" s="20">
        <f>24*0</f>
        <v>0</v>
      </c>
      <c r="R35" s="10">
        <f>106*0</f>
        <v>0</v>
      </c>
    </row>
    <row r="36" spans="2:22" hidden="1" outlineLevel="1" x14ac:dyDescent="0.2">
      <c r="B36" s="1" t="s">
        <v>24</v>
      </c>
      <c r="C36" s="8"/>
      <c r="D36" s="10"/>
      <c r="E36" s="10"/>
      <c r="F36" s="10"/>
      <c r="G36" s="10"/>
      <c r="H36" s="10"/>
      <c r="I36" s="10"/>
      <c r="J36" s="10"/>
      <c r="K36" s="10"/>
      <c r="L36" s="10"/>
      <c r="M36" s="10"/>
      <c r="N36" s="10"/>
      <c r="Q36" s="20">
        <f>-294*0</f>
        <v>0</v>
      </c>
      <c r="R36" s="10">
        <v>0</v>
      </c>
      <c r="U36" s="29"/>
      <c r="V36" s="30"/>
    </row>
    <row r="37" spans="2:22" hidden="1" outlineLevel="1" x14ac:dyDescent="0.2">
      <c r="B37" s="1" t="s">
        <v>20</v>
      </c>
      <c r="C37" s="8"/>
      <c r="D37" s="10"/>
      <c r="E37" s="10"/>
      <c r="F37" s="10"/>
      <c r="G37" s="10"/>
      <c r="H37" s="10"/>
      <c r="I37" s="10"/>
      <c r="J37" s="10"/>
      <c r="K37" s="10"/>
      <c r="L37" s="10"/>
      <c r="M37" s="10"/>
      <c r="N37" s="10"/>
      <c r="Q37" s="20">
        <v>-3373</v>
      </c>
      <c r="R37" s="10">
        <v>-3114</v>
      </c>
      <c r="U37" s="29"/>
      <c r="V37" s="30"/>
    </row>
    <row r="38" spans="2:22" ht="13.5" hidden="1" outlineLevel="1" thickBot="1" x14ac:dyDescent="0.25">
      <c r="B38" s="16" t="s">
        <v>21</v>
      </c>
      <c r="C38" s="17"/>
      <c r="D38" s="17"/>
      <c r="E38" s="17"/>
      <c r="F38" s="17"/>
      <c r="G38" s="17"/>
      <c r="H38" s="17"/>
      <c r="I38" s="17"/>
      <c r="J38" s="17"/>
      <c r="K38" s="17"/>
      <c r="L38" s="17"/>
      <c r="M38" s="17"/>
      <c r="N38" s="17"/>
      <c r="Q38" s="22">
        <f>SUM(Q29,Q34:Q37)</f>
        <v>8244</v>
      </c>
      <c r="R38" s="17">
        <f>SUM(R29,R34:R37)</f>
        <v>9568</v>
      </c>
      <c r="U38" s="29"/>
      <c r="V38" s="30"/>
    </row>
    <row r="39" spans="2:22" hidden="1" outlineLevel="2" x14ac:dyDescent="0.2">
      <c r="V39" s="30"/>
    </row>
    <row r="40" spans="2:22" hidden="1" outlineLevel="2" x14ac:dyDescent="0.2">
      <c r="B40" s="1" t="s">
        <v>22</v>
      </c>
      <c r="Q40" s="20">
        <v>8244</v>
      </c>
      <c r="R40" s="10">
        <v>9568</v>
      </c>
    </row>
    <row r="41" spans="2:22" s="25" customFormat="1" hidden="1" outlineLevel="2" x14ac:dyDescent="0.2">
      <c r="B41" s="24" t="s">
        <v>49</v>
      </c>
      <c r="C41" s="24"/>
      <c r="D41" s="24"/>
      <c r="E41" s="24"/>
      <c r="F41" s="24"/>
      <c r="G41" s="24"/>
      <c r="H41" s="24"/>
      <c r="I41" s="24"/>
      <c r="J41" s="24"/>
      <c r="K41" s="24"/>
      <c r="L41" s="24"/>
      <c r="M41" s="24"/>
      <c r="N41" s="24"/>
      <c r="Q41" s="26">
        <f>Q38-Q40</f>
        <v>0</v>
      </c>
      <c r="R41" s="27">
        <f>R38-R40</f>
        <v>0</v>
      </c>
      <c r="S41" s="1"/>
      <c r="T41" s="1"/>
    </row>
    <row r="42" spans="2:22" hidden="1" outlineLevel="1" collapsed="1" x14ac:dyDescent="0.2"/>
    <row r="43" spans="2:22" collapsed="1" x14ac:dyDescent="0.2"/>
  </sheetData>
  <mergeCells count="8">
    <mergeCell ref="Q3:R3"/>
    <mergeCell ref="U3:V3"/>
    <mergeCell ref="C3:D3"/>
    <mergeCell ref="E3:F3"/>
    <mergeCell ref="G3:H3"/>
    <mergeCell ref="I3:J3"/>
    <mergeCell ref="K3:L3"/>
    <mergeCell ref="M3:N3"/>
  </mergeCells>
  <pageMargins left="0.59055118110236227" right="0.59055118110236227" top="0.59055118110236227" bottom="0.59055118110236227" header="0.31496062992125984" footer="0.31496062992125984"/>
  <pageSetup paperSize="9" scale="75" fitToWidth="0" fitToHeight="2" orientation="landscape" r:id="rId1"/>
  <colBreaks count="1" manualBreakCount="1">
    <brk id="15" min="1" max="20" man="1"/>
  </colBreaks>
  <ignoredErrors>
    <ignoredError sqref="C7 D7:N9 Q7:R9 U8:V8"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51"/>
  <sheetViews>
    <sheetView showGridLines="0" zoomScaleNormal="100" workbookViewId="0"/>
  </sheetViews>
  <sheetFormatPr defaultRowHeight="12.75" outlineLevelRow="1" outlineLevelCol="1" x14ac:dyDescent="0.2"/>
  <cols>
    <col min="1" max="1" width="2.7109375" style="1" customWidth="1"/>
    <col min="2" max="2" width="60.7109375" style="1" customWidth="1"/>
    <col min="3" max="4" width="10.7109375" style="1" customWidth="1"/>
    <col min="5" max="6" width="2.7109375" style="1" customWidth="1"/>
    <col min="7" max="18" width="10.7109375" style="1" customWidth="1"/>
    <col min="19" max="19" width="2.7109375" style="1" customWidth="1"/>
    <col min="20" max="21" width="0" style="37" hidden="1" customWidth="1" outlineLevel="1"/>
    <col min="22" max="22" width="9.140625" style="1" collapsed="1"/>
    <col min="23" max="16384" width="9.140625" style="1"/>
  </cols>
  <sheetData>
    <row r="2" spans="2:21" ht="20.100000000000001" customHeight="1" x14ac:dyDescent="0.2">
      <c r="G2" s="23" t="s">
        <v>105</v>
      </c>
      <c r="H2" s="23"/>
      <c r="I2" s="23"/>
      <c r="J2" s="23"/>
      <c r="K2" s="23"/>
      <c r="L2" s="23"/>
      <c r="M2" s="23"/>
      <c r="N2" s="23"/>
      <c r="O2" s="23"/>
      <c r="P2" s="23"/>
      <c r="Q2" s="23"/>
      <c r="R2" s="23"/>
    </row>
    <row r="3" spans="2:21" ht="20.100000000000001" customHeight="1" x14ac:dyDescent="0.2">
      <c r="B3" s="23" t="s">
        <v>25</v>
      </c>
      <c r="C3" s="23"/>
      <c r="D3" s="88"/>
      <c r="G3" s="80" t="s">
        <v>0</v>
      </c>
      <c r="H3" s="80"/>
      <c r="I3" s="84" t="s">
        <v>8</v>
      </c>
      <c r="J3" s="85"/>
      <c r="K3" s="84" t="s">
        <v>9</v>
      </c>
      <c r="L3" s="85"/>
      <c r="M3" s="84" t="s">
        <v>10</v>
      </c>
      <c r="N3" s="85"/>
      <c r="O3" s="84" t="s">
        <v>12</v>
      </c>
      <c r="P3" s="85"/>
      <c r="Q3" s="86" t="s">
        <v>17</v>
      </c>
      <c r="R3" s="85"/>
      <c r="T3" s="82" t="s">
        <v>19</v>
      </c>
      <c r="U3" s="83"/>
    </row>
    <row r="4" spans="2:21" x14ac:dyDescent="0.2">
      <c r="B4" s="3" t="s">
        <v>27</v>
      </c>
      <c r="C4" s="79">
        <v>41364</v>
      </c>
      <c r="D4" s="89">
        <v>41729</v>
      </c>
      <c r="G4" s="4">
        <v>41364</v>
      </c>
      <c r="H4" s="4">
        <v>41729</v>
      </c>
      <c r="I4" s="5">
        <v>41364</v>
      </c>
      <c r="J4" s="4">
        <v>41729</v>
      </c>
      <c r="K4" s="5">
        <v>41364</v>
      </c>
      <c r="L4" s="4">
        <v>41729</v>
      </c>
      <c r="M4" s="5">
        <v>41364</v>
      </c>
      <c r="N4" s="4">
        <v>41729</v>
      </c>
      <c r="O4" s="5">
        <v>41364</v>
      </c>
      <c r="P4" s="4">
        <v>41729</v>
      </c>
      <c r="Q4" s="19">
        <v>41364</v>
      </c>
      <c r="R4" s="4">
        <v>41729</v>
      </c>
      <c r="T4" s="28">
        <v>41364</v>
      </c>
      <c r="U4" s="47">
        <v>41729</v>
      </c>
    </row>
    <row r="5" spans="2:21" x14ac:dyDescent="0.2">
      <c r="B5" s="1" t="s">
        <v>28</v>
      </c>
      <c r="C5" s="10">
        <v>2956</v>
      </c>
      <c r="D5" s="90">
        <v>1933</v>
      </c>
      <c r="G5" s="98"/>
      <c r="H5" s="98"/>
      <c r="I5" s="99"/>
      <c r="J5" s="100"/>
      <c r="K5" s="99"/>
      <c r="L5" s="100"/>
      <c r="M5" s="99"/>
      <c r="N5" s="100"/>
      <c r="O5" s="99"/>
      <c r="P5" s="98"/>
      <c r="Q5" s="20">
        <f>SUM(G5,I5,K5,M5,O5)</f>
        <v>0</v>
      </c>
      <c r="R5" s="8">
        <f t="shared" ref="R5:R7" si="0">SUM(H5,J5,L5,N5,P5)</f>
        <v>0</v>
      </c>
      <c r="T5" s="29"/>
      <c r="U5" s="48"/>
    </row>
    <row r="6" spans="2:21" x14ac:dyDescent="0.2">
      <c r="B6" s="1" t="s">
        <v>29</v>
      </c>
      <c r="C6" s="10">
        <v>134</v>
      </c>
      <c r="D6" s="90">
        <v>98</v>
      </c>
      <c r="G6" s="98"/>
      <c r="H6" s="98"/>
      <c r="I6" s="99"/>
      <c r="J6" s="100"/>
      <c r="K6" s="99"/>
      <c r="L6" s="100"/>
      <c r="M6" s="99"/>
      <c r="N6" s="100"/>
      <c r="O6" s="99"/>
      <c r="P6" s="98"/>
      <c r="Q6" s="20">
        <f t="shared" ref="Q6:Q7" si="1">SUM(G6,I6,K6,M6,O6)</f>
        <v>0</v>
      </c>
      <c r="R6" s="8">
        <f t="shared" si="0"/>
        <v>0</v>
      </c>
      <c r="T6" s="29"/>
      <c r="U6" s="48"/>
    </row>
    <row r="7" spans="2:21" x14ac:dyDescent="0.2">
      <c r="B7" s="1" t="s">
        <v>30</v>
      </c>
      <c r="C7" s="10">
        <v>1895</v>
      </c>
      <c r="D7" s="90">
        <v>1418</v>
      </c>
      <c r="G7" s="8">
        <f>24+350</f>
        <v>374</v>
      </c>
      <c r="H7" s="8">
        <f>24+276</f>
        <v>300</v>
      </c>
      <c r="I7" s="9">
        <v>275</v>
      </c>
      <c r="J7" s="10">
        <v>161</v>
      </c>
      <c r="K7" s="9">
        <v>923</v>
      </c>
      <c r="L7" s="10">
        <v>957</v>
      </c>
      <c r="M7" s="9">
        <v>323</v>
      </c>
      <c r="N7" s="10">
        <v>0</v>
      </c>
      <c r="O7" s="9"/>
      <c r="P7" s="8"/>
      <c r="Q7" s="20">
        <f t="shared" si="1"/>
        <v>1895</v>
      </c>
      <c r="R7" s="8">
        <f t="shared" si="0"/>
        <v>1418</v>
      </c>
      <c r="T7" s="29">
        <f>C7-Q7</f>
        <v>0</v>
      </c>
      <c r="U7" s="48">
        <f>D7-R7</f>
        <v>0</v>
      </c>
    </row>
    <row r="8" spans="2:21" x14ac:dyDescent="0.2">
      <c r="B8" s="7" t="s">
        <v>31</v>
      </c>
      <c r="C8" s="11">
        <f>SUM(C5:C7)</f>
        <v>4985</v>
      </c>
      <c r="D8" s="91">
        <f>SUM(D5:D7)</f>
        <v>3449</v>
      </c>
      <c r="G8" s="11">
        <f t="shared" ref="G8:R8" si="2">SUM(G5:G7)</f>
        <v>374</v>
      </c>
      <c r="H8" s="11">
        <f t="shared" si="2"/>
        <v>300</v>
      </c>
      <c r="I8" s="12">
        <f t="shared" si="2"/>
        <v>275</v>
      </c>
      <c r="J8" s="11">
        <f t="shared" si="2"/>
        <v>161</v>
      </c>
      <c r="K8" s="12">
        <f t="shared" si="2"/>
        <v>923</v>
      </c>
      <c r="L8" s="11">
        <f t="shared" si="2"/>
        <v>957</v>
      </c>
      <c r="M8" s="12">
        <f t="shared" si="2"/>
        <v>323</v>
      </c>
      <c r="N8" s="11">
        <f t="shared" si="2"/>
        <v>0</v>
      </c>
      <c r="O8" s="12">
        <f t="shared" si="2"/>
        <v>0</v>
      </c>
      <c r="P8" s="11">
        <f t="shared" si="2"/>
        <v>0</v>
      </c>
      <c r="Q8" s="39">
        <f t="shared" si="2"/>
        <v>1895</v>
      </c>
      <c r="R8" s="11">
        <f t="shared" si="2"/>
        <v>1418</v>
      </c>
      <c r="T8" s="49"/>
      <c r="U8" s="50"/>
    </row>
    <row r="9" spans="2:21" x14ac:dyDescent="0.2">
      <c r="B9" s="1" t="s">
        <v>33</v>
      </c>
      <c r="C9" s="10">
        <v>-3923</v>
      </c>
      <c r="D9" s="90">
        <v>-4490</v>
      </c>
      <c r="G9" s="98"/>
      <c r="H9" s="98"/>
      <c r="I9" s="99"/>
      <c r="J9" s="100"/>
      <c r="K9" s="99"/>
      <c r="L9" s="100"/>
      <c r="M9" s="99"/>
      <c r="N9" s="100"/>
      <c r="O9" s="99"/>
      <c r="P9" s="98"/>
      <c r="Q9" s="20">
        <f t="shared" ref="Q9:R11" si="3">SUM(G9,I9,K9,M9,O9)</f>
        <v>0</v>
      </c>
      <c r="R9" s="8">
        <f t="shared" si="3"/>
        <v>0</v>
      </c>
      <c r="T9" s="29"/>
      <c r="U9" s="48"/>
    </row>
    <row r="10" spans="2:21" x14ac:dyDescent="0.2">
      <c r="B10" s="1" t="s">
        <v>34</v>
      </c>
      <c r="C10" s="10">
        <v>-483</v>
      </c>
      <c r="D10" s="90">
        <v>-390</v>
      </c>
      <c r="G10" s="98"/>
      <c r="H10" s="98"/>
      <c r="I10" s="99"/>
      <c r="J10" s="100"/>
      <c r="K10" s="99"/>
      <c r="L10" s="100"/>
      <c r="M10" s="99"/>
      <c r="N10" s="100"/>
      <c r="O10" s="99"/>
      <c r="P10" s="98"/>
      <c r="Q10" s="20">
        <f t="shared" si="3"/>
        <v>0</v>
      </c>
      <c r="R10" s="8">
        <f t="shared" si="3"/>
        <v>0</v>
      </c>
      <c r="T10" s="29"/>
      <c r="U10" s="48"/>
    </row>
    <row r="11" spans="2:21" x14ac:dyDescent="0.2">
      <c r="B11" s="1" t="s">
        <v>35</v>
      </c>
      <c r="C11" s="10">
        <v>-1703</v>
      </c>
      <c r="D11" s="90">
        <v>-1773</v>
      </c>
      <c r="G11" s="98"/>
      <c r="H11" s="98"/>
      <c r="I11" s="99"/>
      <c r="J11" s="100"/>
      <c r="K11" s="99"/>
      <c r="L11" s="100"/>
      <c r="M11" s="99"/>
      <c r="N11" s="100"/>
      <c r="O11" s="99"/>
      <c r="P11" s="98"/>
      <c r="Q11" s="20">
        <f t="shared" si="3"/>
        <v>0</v>
      </c>
      <c r="R11" s="8">
        <f t="shared" si="3"/>
        <v>0</v>
      </c>
      <c r="T11" s="29"/>
      <c r="U11" s="48"/>
    </row>
    <row r="12" spans="2:21" x14ac:dyDescent="0.2">
      <c r="B12" s="7" t="s">
        <v>32</v>
      </c>
      <c r="C12" s="11">
        <f>SUM(C9:C11)</f>
        <v>-6109</v>
      </c>
      <c r="D12" s="91">
        <f>SUM(D9:D11)</f>
        <v>-6653</v>
      </c>
      <c r="G12" s="11">
        <f t="shared" ref="G12:R12" si="4">SUM(G9:G11)</f>
        <v>0</v>
      </c>
      <c r="H12" s="11">
        <f t="shared" si="4"/>
        <v>0</v>
      </c>
      <c r="I12" s="12">
        <f t="shared" si="4"/>
        <v>0</v>
      </c>
      <c r="J12" s="11">
        <f t="shared" si="4"/>
        <v>0</v>
      </c>
      <c r="K12" s="12">
        <f t="shared" si="4"/>
        <v>0</v>
      </c>
      <c r="L12" s="11">
        <f t="shared" si="4"/>
        <v>0</v>
      </c>
      <c r="M12" s="12">
        <f t="shared" si="4"/>
        <v>0</v>
      </c>
      <c r="N12" s="11">
        <f t="shared" si="4"/>
        <v>0</v>
      </c>
      <c r="O12" s="12">
        <f t="shared" si="4"/>
        <v>0</v>
      </c>
      <c r="P12" s="11">
        <f t="shared" si="4"/>
        <v>0</v>
      </c>
      <c r="Q12" s="39">
        <f t="shared" si="4"/>
        <v>0</v>
      </c>
      <c r="R12" s="11">
        <f t="shared" si="4"/>
        <v>0</v>
      </c>
      <c r="T12" s="49"/>
      <c r="U12" s="50"/>
    </row>
    <row r="13" spans="2:21" x14ac:dyDescent="0.2">
      <c r="B13" s="33" t="s">
        <v>36</v>
      </c>
      <c r="C13" s="34">
        <f>SUM(C8,C12)</f>
        <v>-1124</v>
      </c>
      <c r="D13" s="92">
        <f>SUM(D8,D12)</f>
        <v>-3204</v>
      </c>
      <c r="G13" s="34">
        <f t="shared" ref="G13:R13" si="5">SUM(G8,G12)</f>
        <v>374</v>
      </c>
      <c r="H13" s="34">
        <f t="shared" si="5"/>
        <v>300</v>
      </c>
      <c r="I13" s="41">
        <f t="shared" si="5"/>
        <v>275</v>
      </c>
      <c r="J13" s="34">
        <f t="shared" si="5"/>
        <v>161</v>
      </c>
      <c r="K13" s="41">
        <f t="shared" si="5"/>
        <v>923</v>
      </c>
      <c r="L13" s="34">
        <f t="shared" si="5"/>
        <v>957</v>
      </c>
      <c r="M13" s="41">
        <f t="shared" si="5"/>
        <v>323</v>
      </c>
      <c r="N13" s="34">
        <f t="shared" si="5"/>
        <v>0</v>
      </c>
      <c r="O13" s="41">
        <f t="shared" si="5"/>
        <v>0</v>
      </c>
      <c r="P13" s="34">
        <f t="shared" si="5"/>
        <v>0</v>
      </c>
      <c r="Q13" s="40">
        <f t="shared" si="5"/>
        <v>1895</v>
      </c>
      <c r="R13" s="34">
        <f t="shared" si="5"/>
        <v>1418</v>
      </c>
      <c r="T13" s="51"/>
      <c r="U13" s="52"/>
    </row>
    <row r="14" spans="2:21" x14ac:dyDescent="0.2">
      <c r="B14" s="1" t="s">
        <v>37</v>
      </c>
      <c r="C14" s="10">
        <v>223613</v>
      </c>
      <c r="D14" s="90">
        <v>225523</v>
      </c>
      <c r="G14" s="8">
        <f>198057-6716</f>
        <v>191341</v>
      </c>
      <c r="H14" s="8">
        <f>206047-13605</f>
        <v>192442</v>
      </c>
      <c r="I14" s="9">
        <f>14581-8462</f>
        <v>6119</v>
      </c>
      <c r="J14" s="10">
        <f>17869-10514</f>
        <v>7355</v>
      </c>
      <c r="K14" s="9"/>
      <c r="L14" s="10"/>
      <c r="M14" s="9">
        <f>21773-1484</f>
        <v>20289</v>
      </c>
      <c r="N14" s="10">
        <f>21656-2100</f>
        <v>19556</v>
      </c>
      <c r="O14" s="9">
        <f>1271+2019+7551-59-4918</f>
        <v>5864</v>
      </c>
      <c r="P14" s="8">
        <f>1271+2062+8330-132-5361</f>
        <v>6170</v>
      </c>
      <c r="Q14" s="20">
        <f t="shared" ref="Q14:R17" si="6">SUM(G14,I14,K14,M14,O14)</f>
        <v>223613</v>
      </c>
      <c r="R14" s="8">
        <f t="shared" si="6"/>
        <v>225523</v>
      </c>
      <c r="T14" s="29">
        <f>C14-Q14</f>
        <v>0</v>
      </c>
      <c r="U14" s="48">
        <f>D14-R14</f>
        <v>0</v>
      </c>
    </row>
    <row r="15" spans="2:21" x14ac:dyDescent="0.2">
      <c r="B15" s="1" t="s">
        <v>38</v>
      </c>
      <c r="C15" s="10">
        <v>1085</v>
      </c>
      <c r="D15" s="90">
        <v>594</v>
      </c>
      <c r="G15" s="98"/>
      <c r="H15" s="98"/>
      <c r="I15" s="99"/>
      <c r="J15" s="100"/>
      <c r="K15" s="99"/>
      <c r="L15" s="100"/>
      <c r="M15" s="99"/>
      <c r="N15" s="100"/>
      <c r="O15" s="99"/>
      <c r="P15" s="98"/>
      <c r="Q15" s="20">
        <f t="shared" si="6"/>
        <v>0</v>
      </c>
      <c r="R15" s="8">
        <f t="shared" si="6"/>
        <v>0</v>
      </c>
      <c r="T15" s="29"/>
      <c r="U15" s="48"/>
    </row>
    <row r="16" spans="2:21" x14ac:dyDescent="0.2">
      <c r="B16" s="1" t="s">
        <v>45</v>
      </c>
      <c r="C16" s="10">
        <v>-44276</v>
      </c>
      <c r="D16" s="90">
        <v>-44084</v>
      </c>
      <c r="G16" s="98"/>
      <c r="H16" s="98"/>
      <c r="I16" s="99"/>
      <c r="J16" s="100"/>
      <c r="K16" s="99"/>
      <c r="L16" s="100"/>
      <c r="M16" s="99"/>
      <c r="N16" s="100"/>
      <c r="O16" s="99"/>
      <c r="P16" s="98"/>
      <c r="Q16" s="20">
        <f t="shared" si="6"/>
        <v>0</v>
      </c>
      <c r="R16" s="8">
        <f t="shared" si="6"/>
        <v>0</v>
      </c>
      <c r="T16" s="29"/>
      <c r="U16" s="48"/>
    </row>
    <row r="17" spans="2:21" x14ac:dyDescent="0.2">
      <c r="B17" s="1" t="s">
        <v>35</v>
      </c>
      <c r="C17" s="10">
        <v>-18</v>
      </c>
      <c r="D17" s="90">
        <v>-8</v>
      </c>
      <c r="G17" s="98"/>
      <c r="H17" s="98"/>
      <c r="I17" s="99"/>
      <c r="J17" s="100"/>
      <c r="K17" s="99"/>
      <c r="L17" s="100"/>
      <c r="M17" s="99"/>
      <c r="N17" s="100"/>
      <c r="O17" s="99"/>
      <c r="P17" s="98"/>
      <c r="Q17" s="20">
        <f t="shared" si="6"/>
        <v>0</v>
      </c>
      <c r="R17" s="8">
        <f t="shared" si="6"/>
        <v>0</v>
      </c>
      <c r="T17" s="29"/>
      <c r="U17" s="48"/>
    </row>
    <row r="18" spans="2:21" x14ac:dyDescent="0.2">
      <c r="B18" s="33" t="s">
        <v>39</v>
      </c>
      <c r="C18" s="34">
        <f>SUM(C13:C17)</f>
        <v>179280</v>
      </c>
      <c r="D18" s="92">
        <f>SUM(D13:D17)</f>
        <v>178821</v>
      </c>
      <c r="G18" s="34">
        <f t="shared" ref="G18:R18" si="7">SUM(G13:G17)</f>
        <v>191715</v>
      </c>
      <c r="H18" s="34">
        <f t="shared" si="7"/>
        <v>192742</v>
      </c>
      <c r="I18" s="41">
        <f t="shared" si="7"/>
        <v>6394</v>
      </c>
      <c r="J18" s="34">
        <f t="shared" si="7"/>
        <v>7516</v>
      </c>
      <c r="K18" s="41">
        <f t="shared" si="7"/>
        <v>923</v>
      </c>
      <c r="L18" s="34">
        <f t="shared" si="7"/>
        <v>957</v>
      </c>
      <c r="M18" s="41">
        <f t="shared" si="7"/>
        <v>20612</v>
      </c>
      <c r="N18" s="34">
        <f t="shared" si="7"/>
        <v>19556</v>
      </c>
      <c r="O18" s="41">
        <f t="shared" si="7"/>
        <v>5864</v>
      </c>
      <c r="P18" s="34">
        <f t="shared" si="7"/>
        <v>6170</v>
      </c>
      <c r="Q18" s="40">
        <f t="shared" si="7"/>
        <v>225508</v>
      </c>
      <c r="R18" s="34">
        <f t="shared" si="7"/>
        <v>226941</v>
      </c>
      <c r="T18" s="51"/>
      <c r="U18" s="52"/>
    </row>
    <row r="19" spans="2:21" ht="14.25" x14ac:dyDescent="0.2">
      <c r="B19" s="1" t="s">
        <v>54</v>
      </c>
      <c r="C19" s="10">
        <v>1640</v>
      </c>
      <c r="D19" s="90">
        <v>1640</v>
      </c>
      <c r="T19" s="29"/>
      <c r="U19" s="48"/>
    </row>
    <row r="20" spans="2:21" x14ac:dyDescent="0.2">
      <c r="B20" s="1" t="s">
        <v>40</v>
      </c>
      <c r="C20" s="10">
        <v>1440</v>
      </c>
      <c r="D20" s="90">
        <v>1455</v>
      </c>
      <c r="T20" s="29"/>
      <c r="U20" s="48"/>
    </row>
    <row r="21" spans="2:21" ht="13.5" thickBot="1" x14ac:dyDescent="0.25">
      <c r="B21" s="16" t="s">
        <v>41</v>
      </c>
      <c r="C21" s="17">
        <f>SUM(C18:C20)</f>
        <v>182360</v>
      </c>
      <c r="D21" s="93">
        <f>SUM(D18:D20)</f>
        <v>181916</v>
      </c>
      <c r="T21" s="31"/>
      <c r="U21" s="53"/>
    </row>
    <row r="22" spans="2:21" x14ac:dyDescent="0.2">
      <c r="C22" s="6"/>
      <c r="D22" s="94"/>
      <c r="T22" s="54"/>
      <c r="U22" s="55"/>
    </row>
    <row r="23" spans="2:21" x14ac:dyDescent="0.2">
      <c r="B23" s="1" t="s">
        <v>42</v>
      </c>
      <c r="C23" s="10">
        <v>1501</v>
      </c>
      <c r="D23" s="90">
        <v>3521</v>
      </c>
      <c r="T23" s="29"/>
      <c r="U23" s="48"/>
    </row>
    <row r="24" spans="2:21" ht="14.25" x14ac:dyDescent="0.2">
      <c r="B24" s="1" t="s">
        <v>62</v>
      </c>
      <c r="C24" s="10">
        <v>-1724</v>
      </c>
      <c r="D24" s="90">
        <v>-266</v>
      </c>
      <c r="T24" s="29"/>
      <c r="U24" s="48"/>
    </row>
    <row r="25" spans="2:21" x14ac:dyDescent="0.2">
      <c r="B25" s="1" t="s">
        <v>44</v>
      </c>
      <c r="C25" s="10">
        <v>-1500</v>
      </c>
      <c r="D25" s="90">
        <v>0</v>
      </c>
      <c r="T25" s="29"/>
      <c r="U25" s="48"/>
    </row>
    <row r="26" spans="2:21" x14ac:dyDescent="0.2">
      <c r="B26" s="1" t="s">
        <v>43</v>
      </c>
      <c r="C26" s="10">
        <v>-39450</v>
      </c>
      <c r="D26" s="90">
        <v>-51950</v>
      </c>
      <c r="T26" s="29"/>
      <c r="U26" s="48"/>
    </row>
    <row r="27" spans="2:21" ht="14.25" x14ac:dyDescent="0.2">
      <c r="B27" s="1" t="s">
        <v>52</v>
      </c>
      <c r="C27" s="10">
        <v>0</v>
      </c>
      <c r="D27" s="90">
        <v>-1250</v>
      </c>
      <c r="T27" s="29"/>
      <c r="U27" s="48"/>
    </row>
    <row r="28" spans="2:21" ht="14.25" x14ac:dyDescent="0.2">
      <c r="B28" s="1" t="s">
        <v>53</v>
      </c>
      <c r="C28" s="10">
        <v>-3000</v>
      </c>
      <c r="D28" s="90">
        <v>-3000</v>
      </c>
      <c r="T28" s="29"/>
      <c r="U28" s="48"/>
    </row>
    <row r="29" spans="2:21" ht="13.5" thickBot="1" x14ac:dyDescent="0.25">
      <c r="B29" s="16" t="s">
        <v>47</v>
      </c>
      <c r="C29" s="17">
        <f>SUM(C23:C28)</f>
        <v>-44173</v>
      </c>
      <c r="D29" s="93">
        <f>SUM(D23:D28)</f>
        <v>-52945</v>
      </c>
      <c r="T29" s="31"/>
      <c r="U29" s="53"/>
    </row>
    <row r="30" spans="2:21" x14ac:dyDescent="0.2">
      <c r="C30" s="10"/>
      <c r="D30" s="90"/>
      <c r="T30" s="29"/>
      <c r="U30" s="48"/>
    </row>
    <row r="31" spans="2:21" ht="14.25" x14ac:dyDescent="0.2">
      <c r="B31" s="2" t="s">
        <v>102</v>
      </c>
      <c r="C31" s="36">
        <v>94</v>
      </c>
      <c r="D31" s="95">
        <v>13594</v>
      </c>
      <c r="E31" s="2"/>
      <c r="F31" s="2"/>
      <c r="T31" s="56"/>
      <c r="U31" s="57"/>
    </row>
    <row r="32" spans="2:21" x14ac:dyDescent="0.2">
      <c r="C32" s="10"/>
      <c r="D32" s="90"/>
      <c r="T32" s="29"/>
      <c r="U32" s="48"/>
    </row>
    <row r="33" spans="2:21" x14ac:dyDescent="0.2">
      <c r="B33" s="35" t="s">
        <v>46</v>
      </c>
      <c r="C33" s="36">
        <v>-179</v>
      </c>
      <c r="D33" s="95">
        <v>-885</v>
      </c>
      <c r="T33" s="56"/>
      <c r="U33" s="57"/>
    </row>
    <row r="34" spans="2:21" x14ac:dyDescent="0.2">
      <c r="C34" s="10"/>
      <c r="D34" s="90"/>
      <c r="T34" s="29"/>
      <c r="U34" s="48"/>
    </row>
    <row r="35" spans="2:21" ht="13.5" thickBot="1" x14ac:dyDescent="0.25">
      <c r="B35" s="16" t="s">
        <v>48</v>
      </c>
      <c r="C35" s="17">
        <f t="shared" ref="C35:D35" si="8">SUM(C21,C29,C31,C33)</f>
        <v>138102</v>
      </c>
      <c r="D35" s="93">
        <f t="shared" si="8"/>
        <v>141680</v>
      </c>
      <c r="T35" s="31"/>
      <c r="U35" s="53"/>
    </row>
    <row r="36" spans="2:21" x14ac:dyDescent="0.2">
      <c r="C36" s="10"/>
      <c r="D36" s="90"/>
      <c r="T36" s="29"/>
      <c r="U36" s="48"/>
    </row>
    <row r="37" spans="2:21" ht="15" thickBot="1" x14ac:dyDescent="0.25">
      <c r="B37" s="16" t="s">
        <v>103</v>
      </c>
      <c r="C37" s="17">
        <f>138281+C33</f>
        <v>138102</v>
      </c>
      <c r="D37" s="93">
        <f>142565+D33</f>
        <v>141680</v>
      </c>
      <c r="T37" s="31"/>
      <c r="U37" s="53"/>
    </row>
    <row r="38" spans="2:21" hidden="1" outlineLevel="1" x14ac:dyDescent="0.2"/>
    <row r="39" spans="2:21" hidden="1" outlineLevel="1" x14ac:dyDescent="0.2">
      <c r="B39" s="37" t="s">
        <v>49</v>
      </c>
      <c r="C39" s="38">
        <f>C35-C37</f>
        <v>0</v>
      </c>
      <c r="D39" s="38">
        <f>D35-D37</f>
        <v>0</v>
      </c>
    </row>
    <row r="40" spans="2:21" collapsed="1" x14ac:dyDescent="0.2"/>
    <row r="41" spans="2:21" s="2" customFormat="1" x14ac:dyDescent="0.2">
      <c r="B41" s="43" t="s">
        <v>77</v>
      </c>
      <c r="C41" s="43"/>
      <c r="D41" s="43"/>
      <c r="E41" s="1"/>
      <c r="F41" s="1"/>
      <c r="G41" s="1"/>
      <c r="H41" s="1"/>
      <c r="I41" s="1"/>
      <c r="J41" s="1"/>
      <c r="K41" s="1"/>
      <c r="L41" s="1"/>
      <c r="M41" s="1"/>
      <c r="N41" s="1"/>
      <c r="O41" s="1"/>
      <c r="P41" s="1"/>
      <c r="Q41" s="1"/>
      <c r="R41" s="1"/>
      <c r="T41" s="46"/>
      <c r="U41" s="46"/>
    </row>
    <row r="42" spans="2:21" x14ac:dyDescent="0.2">
      <c r="B42" s="42" t="s">
        <v>55</v>
      </c>
      <c r="C42" s="42"/>
      <c r="D42" s="42"/>
      <c r="T42" s="45"/>
      <c r="U42" s="45"/>
    </row>
    <row r="43" spans="2:21" s="42" customFormat="1" x14ac:dyDescent="0.2">
      <c r="G43" s="1"/>
      <c r="H43" s="1"/>
      <c r="I43" s="1"/>
      <c r="J43" s="1"/>
      <c r="K43" s="1"/>
      <c r="L43" s="1"/>
      <c r="M43" s="1"/>
      <c r="N43" s="1"/>
      <c r="O43" s="1"/>
      <c r="P43" s="1"/>
      <c r="Q43" s="1"/>
      <c r="R43" s="1"/>
      <c r="T43" s="45"/>
      <c r="U43" s="45"/>
    </row>
    <row r="44" spans="2:21" s="42" customFormat="1" ht="11.25" x14ac:dyDescent="0.2">
      <c r="B44" s="43" t="s">
        <v>50</v>
      </c>
      <c r="T44" s="45"/>
      <c r="U44" s="45"/>
    </row>
    <row r="45" spans="2:21" s="42" customFormat="1" ht="12.95" customHeight="1" x14ac:dyDescent="0.2">
      <c r="B45" s="77" t="s">
        <v>90</v>
      </c>
      <c r="C45" s="77"/>
      <c r="D45" s="77"/>
      <c r="T45" s="45"/>
      <c r="U45" s="45"/>
    </row>
    <row r="46" spans="2:21" ht="12.95" customHeight="1" x14ac:dyDescent="0.2">
      <c r="B46" s="77" t="s">
        <v>89</v>
      </c>
      <c r="C46" s="78"/>
      <c r="D46" s="78"/>
    </row>
    <row r="47" spans="2:21" s="42" customFormat="1" ht="26.1" customHeight="1" x14ac:dyDescent="0.2">
      <c r="B47" s="87" t="s">
        <v>88</v>
      </c>
      <c r="C47" s="87"/>
      <c r="D47" s="87"/>
      <c r="T47" s="45"/>
      <c r="U47" s="45"/>
    </row>
    <row r="48" spans="2:21" s="42" customFormat="1" ht="39" customHeight="1" x14ac:dyDescent="0.2">
      <c r="B48" s="87" t="s">
        <v>94</v>
      </c>
      <c r="C48" s="87"/>
      <c r="D48" s="87"/>
      <c r="T48" s="45"/>
      <c r="U48" s="45"/>
    </row>
    <row r="49" spans="2:21" s="42" customFormat="1" ht="26.1" customHeight="1" x14ac:dyDescent="0.2">
      <c r="B49" s="87" t="s">
        <v>86</v>
      </c>
      <c r="C49" s="87"/>
      <c r="D49" s="87"/>
      <c r="T49" s="45"/>
      <c r="U49" s="45"/>
    </row>
    <row r="50" spans="2:21" s="42" customFormat="1" ht="12.95" customHeight="1" x14ac:dyDescent="0.2">
      <c r="B50" s="77" t="s">
        <v>91</v>
      </c>
      <c r="C50" s="77"/>
      <c r="D50" s="77"/>
      <c r="T50" s="45"/>
      <c r="U50" s="45"/>
    </row>
    <row r="51" spans="2:21" s="42" customFormat="1" ht="26.1" customHeight="1" x14ac:dyDescent="0.2">
      <c r="B51" s="87" t="s">
        <v>87</v>
      </c>
      <c r="C51" s="87"/>
      <c r="D51" s="87"/>
      <c r="T51" s="45"/>
      <c r="U51" s="45"/>
    </row>
  </sheetData>
  <mergeCells count="11">
    <mergeCell ref="T3:U3"/>
    <mergeCell ref="I3:J3"/>
    <mergeCell ref="K3:L3"/>
    <mergeCell ref="M3:N3"/>
    <mergeCell ref="O3:P3"/>
    <mergeCell ref="Q3:R3"/>
    <mergeCell ref="B51:D51"/>
    <mergeCell ref="B49:D49"/>
    <mergeCell ref="B48:D48"/>
    <mergeCell ref="B47:D47"/>
    <mergeCell ref="G3:H3"/>
  </mergeCells>
  <pageMargins left="0.59055118110236227" right="0.59055118110236227" top="0.59055118110236227" bottom="0.59055118110236227" header="0.31496062992125984" footer="0.31496062992125984"/>
  <pageSetup paperSize="9" fitToWidth="0" fitToHeight="2" orientation="portrait" r:id="rId1"/>
  <ignoredErrors>
    <ignoredError sqref="C8:D8"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Analysis</vt:lpstr>
      <vt:lpstr>IS</vt:lpstr>
      <vt:lpstr>BS</vt:lpstr>
      <vt:lpstr>Analysis!Print_Area</vt:lpstr>
      <vt:lpstr>BS!Print_Area</vt:lpstr>
      <vt:lpstr>IS!Print_Area</vt:lpstr>
    </vt:vector>
  </TitlesOfParts>
  <Company>Vector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Wallace</dc:creator>
  <cp:lastModifiedBy>James Wallace</cp:lastModifiedBy>
  <cp:lastPrinted>2014-08-28T06:41:03Z</cp:lastPrinted>
  <dcterms:created xsi:type="dcterms:W3CDTF">2014-08-28T02:52:42Z</dcterms:created>
  <dcterms:modified xsi:type="dcterms:W3CDTF">2014-08-28T06:41:14Z</dcterms:modified>
</cp:coreProperties>
</file>